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3\YE12'23\"/>
    </mc:Choice>
  </mc:AlternateContent>
  <xr:revisionPtr revIDLastSave="0" documentId="13_ncr:1_{BC5CDAFD-B321-4345-97EE-7E462683FF93}" xr6:coauthVersionLast="47" xr6:coauthVersionMax="47" xr10:uidLastSave="{00000000-0000-0000-0000-000000000000}"/>
  <bookViews>
    <workbookView xWindow="-120" yWindow="-120" windowWidth="29040" windowHeight="15840" tabRatio="535" activeTab="4" xr2:uid="{00000000-000D-0000-FFFF-FFFF00000000}"/>
  </bookViews>
  <sheets>
    <sheet name="bs" sheetId="4" r:id="rId1"/>
    <sheet name="pl" sheetId="1" r:id="rId2"/>
    <sheet name="ce-conso" sheetId="7" r:id="rId3"/>
    <sheet name="ce-company" sheetId="8" r:id="rId4"/>
    <sheet name="FS - cash flow " sheetId="10" r:id="rId5"/>
    <sheet name="pl LYD" sheetId="11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4">#REF!</definedName>
    <definedName name="_" localSheetId="5">#REF!</definedName>
    <definedName name="_">#REF!</definedName>
    <definedName name="_.._Specification_name__P_L" localSheetId="4">[1]Sheet1!$A$1</definedName>
    <definedName name="_.._Specification_name__P_L">[1]Sheet1!$A$1</definedName>
    <definedName name="__dkd1" localSheetId="4">IF(#REF!&lt;=5,INDEX(#REF!,(#REF!*5)-4),#REF!)</definedName>
    <definedName name="__dkd1" localSheetId="5">IF(#REF!&lt;=5,INDEX(#REF!,(#REF!*5)-4),#REF!)</definedName>
    <definedName name="__dkd1">IF(#REF!&lt;=5,INDEX(#REF!,(#REF!*5)-4),#REF!)</definedName>
    <definedName name="__fs2001" localSheetId="4">#REF!</definedName>
    <definedName name="__fs2001" localSheetId="5">#REF!</definedName>
    <definedName name="__fs2001">#REF!</definedName>
    <definedName name="__pp1" localSheetId="4">#REF!</definedName>
    <definedName name="__pp1" localSheetId="5">#REF!</definedName>
    <definedName name="__pp1">#REF!</definedName>
    <definedName name="__pp2" localSheetId="4">#REF!</definedName>
    <definedName name="__pp2" localSheetId="5">#REF!</definedName>
    <definedName name="__pp2">#REF!</definedName>
    <definedName name="__pp3" localSheetId="4">#REF!</definedName>
    <definedName name="__pp3" localSheetId="5">#REF!</definedName>
    <definedName name="__pp3">#REF!</definedName>
    <definedName name="__pp4" localSheetId="4">#REF!</definedName>
    <definedName name="__pp4" localSheetId="5">#REF!</definedName>
    <definedName name="__pp4">#REF!</definedName>
    <definedName name="__pp5" localSheetId="4">#REF!</definedName>
    <definedName name="__pp5" localSheetId="5">#REF!</definedName>
    <definedName name="__pp5">#REF!</definedName>
    <definedName name="__pp6" localSheetId="4">#REF!</definedName>
    <definedName name="__pp6" localSheetId="5">#REF!</definedName>
    <definedName name="__pp6">#REF!</definedName>
    <definedName name="__pp7" localSheetId="4">#REF!</definedName>
    <definedName name="__pp7" localSheetId="5">#REF!</definedName>
    <definedName name="__pp7">#REF!</definedName>
    <definedName name="__rik1" localSheetId="4">IF(#REF!&lt;=5,INDEX(#REF!,(#REF!*5)-4),#REF!)</definedName>
    <definedName name="__rik1" localSheetId="5">IF(#REF!&lt;=5,INDEX(#REF!,(#REF!*5)-4),#REF!)</definedName>
    <definedName name="__rik1">IF(#REF!&lt;=5,INDEX(#REF!,(#REF!*5)-4),#REF!)</definedName>
    <definedName name="_dkd1" localSheetId="4">IF(#REF!&lt;=5,INDEX(#REF!,(#REF!*5)-4),#REF!)</definedName>
    <definedName name="_dkd1" localSheetId="5">IF(#REF!&lt;=5,INDEX(#REF!,(#REF!*5)-4),#REF!)</definedName>
    <definedName name="_dkd1">IF(#REF!&lt;=5,INDEX(#REF!,(#REF!*5)-4),#REF!)</definedName>
    <definedName name="_fs2001" localSheetId="4">#REF!</definedName>
    <definedName name="_fs2001" localSheetId="5">#REF!</definedName>
    <definedName name="_fs2001">#REF!</definedName>
    <definedName name="_Order1" hidden="1">255</definedName>
    <definedName name="_pp1" localSheetId="4">#REF!</definedName>
    <definedName name="_pp1" localSheetId="5">#REF!</definedName>
    <definedName name="_pp1">#REF!</definedName>
    <definedName name="_pp2" localSheetId="4">#REF!</definedName>
    <definedName name="_pp2" localSheetId="5">#REF!</definedName>
    <definedName name="_pp2">#REF!</definedName>
    <definedName name="_pp3" localSheetId="4">#REF!</definedName>
    <definedName name="_pp3" localSheetId="5">#REF!</definedName>
    <definedName name="_pp3">#REF!</definedName>
    <definedName name="_pp4" localSheetId="4">#REF!</definedName>
    <definedName name="_pp4" localSheetId="5">#REF!</definedName>
    <definedName name="_pp4">#REF!</definedName>
    <definedName name="_pp5" localSheetId="4">#REF!</definedName>
    <definedName name="_pp5" localSheetId="5">#REF!</definedName>
    <definedName name="_pp5">#REF!</definedName>
    <definedName name="_pp6" localSheetId="4">#REF!</definedName>
    <definedName name="_pp6" localSheetId="5">#REF!</definedName>
    <definedName name="_pp6">#REF!</definedName>
    <definedName name="_pp7" localSheetId="4">#REF!</definedName>
    <definedName name="_pp7" localSheetId="5">#REF!</definedName>
    <definedName name="_pp7">#REF!</definedName>
    <definedName name="_rik1" localSheetId="4">IF(#REF!&lt;=5,INDEX(#REF!,(#REF!*5)-4),#REF!)</definedName>
    <definedName name="_rik1" localSheetId="5">IF(#REF!&lt;=5,INDEX(#REF!,(#REF!*5)-4),#REF!)</definedName>
    <definedName name="_rik1">IF(#REF!&lt;=5,INDEX(#REF!,(#REF!*5)-4),#REF!)</definedName>
    <definedName name="a" localSheetId="4">#REF!</definedName>
    <definedName name="a" localSheetId="5">#REF!</definedName>
    <definedName name="a">#REF!</definedName>
    <definedName name="aa" localSheetId="4">#REF!</definedName>
    <definedName name="aa" localSheetId="5">#REF!</definedName>
    <definedName name="aa">#REF!</definedName>
    <definedName name="aaa" localSheetId="4">IF(#REF!&lt;=5,INDEX(#REF!,(#REF!*5)-4),#REF!)</definedName>
    <definedName name="aaa" localSheetId="5">IF(#REF!&lt;=5,INDEX(#REF!,(#REF!*5)-4),#REF!)</definedName>
    <definedName name="aaa">IF(#REF!&lt;=5,INDEX(#REF!,(#REF!*5)-4),#REF!)</definedName>
    <definedName name="aaaa" localSheetId="4">IF(#REF!&lt;=5,INDEX(#REF!,(#REF!*5)-4),#REF!)</definedName>
    <definedName name="aaaa" localSheetId="5">IF(#REF!&lt;=5,INDEX(#REF!,(#REF!*5)-4),#REF!)</definedName>
    <definedName name="aaaa">IF(#REF!&lt;=5,INDEX(#REF!,(#REF!*5)-4),#REF!)</definedName>
    <definedName name="aaaaa" localSheetId="4">IF(#REF!&lt;=5,INDEX(#REF!,(#REF!*5)-4),#REF!)</definedName>
    <definedName name="aaaaa" localSheetId="5">IF(#REF!&lt;=5,INDEX(#REF!,(#REF!*5)-4),#REF!)</definedName>
    <definedName name="aaaaa">IF(#REF!&lt;=5,INDEX(#REF!,(#REF!*5)-4),#REF!)</definedName>
    <definedName name="aaaaaa" localSheetId="4">IF(#REF!&lt;=5,INDEX(#REF!,(#REF!*5)-4),#REF!)</definedName>
    <definedName name="aaaaaa" localSheetId="5">IF(#REF!&lt;=5,INDEX(#REF!,(#REF!*5)-4),#REF!)</definedName>
    <definedName name="aaaaaa">IF(#REF!&lt;=5,INDEX(#REF!,(#REF!*5)-4),#REF!)</definedName>
    <definedName name="b" localSheetId="4">#REF!</definedName>
    <definedName name="b" localSheetId="5">#REF!</definedName>
    <definedName name="b">#REF!</definedName>
    <definedName name="bb" localSheetId="4">#REF!</definedName>
    <definedName name="bb" localSheetId="5">#REF!</definedName>
    <definedName name="bb">#REF!</definedName>
    <definedName name="bgpl" localSheetId="4">#REF!</definedName>
    <definedName name="bgpl" localSheetId="5">#REF!</definedName>
    <definedName name="bgpl">#REF!</definedName>
    <definedName name="bgpl1" localSheetId="4">#REF!</definedName>
    <definedName name="bgpl1" localSheetId="5">#REF!</definedName>
    <definedName name="bgpl1">#REF!</definedName>
    <definedName name="data" localSheetId="4">[2]INV!$A$6:$O$686</definedName>
    <definedName name="data">[2]INV!$A$6:$O$686</definedName>
    <definedName name="date" localSheetId="4">#REF!</definedName>
    <definedName name="date" localSheetId="5">#REF!</definedName>
    <definedName name="date">#REF!</definedName>
    <definedName name="detail" localSheetId="4">#REF!</definedName>
    <definedName name="detail" localSheetId="5">#REF!</definedName>
    <definedName name="detail">#REF!</definedName>
    <definedName name="detail2001" localSheetId="4">#REF!</definedName>
    <definedName name="detail2001" localSheetId="5">#REF!</definedName>
    <definedName name="detail2001">#REF!</definedName>
    <definedName name="dkd" localSheetId="4">IF(#REF!&lt;=5,INDEX(#REF!,(#REF!*5)-4),#REF!)</definedName>
    <definedName name="dkd" localSheetId="5">IF(#REF!&lt;=5,INDEX(#REF!,(#REF!*5)-4),#REF!)</definedName>
    <definedName name="dkd">IF(#REF!&lt;=5,INDEX(#REF!,(#REF!*5)-4),#REF!)</definedName>
    <definedName name="Elim" localSheetId="4">#REF!</definedName>
    <definedName name="Elim" localSheetId="5">#REF!</definedName>
    <definedName name="Elim">#REF!</definedName>
    <definedName name="ElimCode" localSheetId="4">'[3]Elim Seg AM'!$D$7:$D$62</definedName>
    <definedName name="ElimCode">'[3]Elim Seg AM'!$D$7:$D$62</definedName>
    <definedName name="ElimCodeAM" localSheetId="4">'[3]Elim Seg AM'!$D$7:$D$70</definedName>
    <definedName name="ElimCodeAM">'[3]Elim Seg AM'!$D$7:$D$70</definedName>
    <definedName name="ElimCodeBM" localSheetId="4">'[3]Elim Seg BM'!$D$7:$D$70</definedName>
    <definedName name="ElimCodeBM">'[3]Elim Seg BM'!$D$7:$D$70</definedName>
    <definedName name="ElimCodeLM" localSheetId="4">'[3]Elim Seg LM'!$D$7:$D$70</definedName>
    <definedName name="ElimCodeLM">'[3]Elim Seg LM'!$D$7:$D$70</definedName>
    <definedName name="ElimDif" localSheetId="4">#REF!</definedName>
    <definedName name="ElimDif" localSheetId="5">#REF!</definedName>
    <definedName name="ElimDif">#REF!</definedName>
    <definedName name="ElimSegAM" localSheetId="4">'[3]Elim Seg AM'!$F$7:$Q$69</definedName>
    <definedName name="ElimSegAM">'[3]Elim Seg AM'!$F$7:$Q$69</definedName>
    <definedName name="ElimSegBM" localSheetId="4">'[3]Elim Seg BM'!$F$7:$Q$69</definedName>
    <definedName name="ElimSegBM">'[3]Elim Seg BM'!$F$7:$Q$69</definedName>
    <definedName name="ElimSegLM" localSheetId="4">'[3]Elim Seg LM'!$F$7:$Q$69</definedName>
    <definedName name="ElimSegLM">'[3]Elim Seg LM'!$F$7:$Q$69</definedName>
    <definedName name="fs" localSheetId="4">#REF!</definedName>
    <definedName name="fs" localSheetId="5">#REF!</definedName>
    <definedName name="fs">#REF!</definedName>
    <definedName name="gg" localSheetId="4">IF(#REF!&lt;=5,INDEX(#REF!,(#REF!*5)-4),#REF!)</definedName>
    <definedName name="gg" localSheetId="5">IF(#REF!&lt;=5,INDEX(#REF!,(#REF!*5)-4),#REF!)</definedName>
    <definedName name="gg">IF(#REF!&lt;=5,INDEX(#REF!,(#REF!*5)-4),#REF!)</definedName>
    <definedName name="hh" localSheetId="4">#REF!</definedName>
    <definedName name="hh" localSheetId="5">#REF!</definedName>
    <definedName name="hh">#REF!</definedName>
    <definedName name="jj" localSheetId="4">#REF!</definedName>
    <definedName name="jj" localSheetId="5">#REF!</definedName>
    <definedName name="jj">#REF!</definedName>
    <definedName name="kk" localSheetId="4">#REF!</definedName>
    <definedName name="kk" localSheetId="5">#REF!</definedName>
    <definedName name="kk">#REF!</definedName>
    <definedName name="ll" localSheetId="4">#REF!</definedName>
    <definedName name="ll" localSheetId="5">#REF!</definedName>
    <definedName name="ll">#REF!</definedName>
    <definedName name="lrhlrh" localSheetId="4">#REF!</definedName>
    <definedName name="lrhlrh" localSheetId="5">#REF!</definedName>
    <definedName name="lrhlrh">#REF!</definedName>
    <definedName name="lyrbs" localSheetId="4">#REF!</definedName>
    <definedName name="lyrbs" localSheetId="5">#REF!</definedName>
    <definedName name="lyrbs">#REF!</definedName>
    <definedName name="lyrbs1" localSheetId="4">#REF!</definedName>
    <definedName name="lyrbs1" localSheetId="5">#REF!</definedName>
    <definedName name="lyrbs1">#REF!</definedName>
    <definedName name="lyrpl" localSheetId="4">#REF!</definedName>
    <definedName name="lyrpl" localSheetId="5">#REF!</definedName>
    <definedName name="lyrpl">#REF!</definedName>
    <definedName name="lyrpl1" localSheetId="4">#REF!</definedName>
    <definedName name="lyrpl1" localSheetId="5">#REF!</definedName>
    <definedName name="lyrpl1">#REF!</definedName>
    <definedName name="mm" localSheetId="4">IF(#REF!&lt;=5,INDEX(#REF!,(#REF!*5)-4),#REF!)</definedName>
    <definedName name="mm" localSheetId="5">IF(#REF!&lt;=5,INDEX(#REF!,(#REF!*5)-4),#REF!)</definedName>
    <definedName name="mm">IF(#REF!&lt;=5,INDEX(#REF!,(#REF!*5)-4),#REF!)</definedName>
    <definedName name="PeriodInYear" localSheetId="4">'[4]P&amp;L'!$G$6</definedName>
    <definedName name="PeriodInYear">'[4]P&amp;L'!$G$6</definedName>
    <definedName name="_xlnm.Print_Area" localSheetId="0">bs!$A$1:$J$98</definedName>
    <definedName name="_xlnm.Print_Area" localSheetId="3">'ce-company'!$A$1:$R$24</definedName>
    <definedName name="_xlnm.Print_Area" localSheetId="2">'ce-conso'!$A$1:$AF$34</definedName>
    <definedName name="_xlnm.Print_Area" localSheetId="4">'FS - cash flow '!$A$1:$J$110</definedName>
    <definedName name="_xlnm.Print_Area" localSheetId="1">pl!$A$1:$J$75</definedName>
    <definedName name="_xlnm.Print_Area" localSheetId="5">'pl LYD'!$A$1:$J$73</definedName>
    <definedName name="_xlnm.Print_Area">#REF!</definedName>
    <definedName name="Print_Area_MI" localSheetId="5">[5]RETEN!#REF!</definedName>
    <definedName name="Print_Area_MI">[5]RETEN!#REF!</definedName>
    <definedName name="Print_Area_Reset" localSheetId="4">OFFSET(Full_Print,0,0,Last_Row)</definedName>
    <definedName name="Print_Area_Reset" localSheetId="5">OFFSET(Full_Print,0,0,Last_Row)</definedName>
    <definedName name="Print_Area_Reset">OFFSET(Full_Print,0,0,Last_Row)</definedName>
    <definedName name="_xlnm.Print_Titles">#N/A</definedName>
    <definedName name="PrintArea" localSheetId="4">#REF!</definedName>
    <definedName name="PrintArea" localSheetId="5">#REF!</definedName>
    <definedName name="PrintArea">#REF!</definedName>
    <definedName name="Printtitles" localSheetId="4">'[6]A12-invsub'!#REF!</definedName>
    <definedName name="Printtitles" localSheetId="5">'[6]A12-invsub'!#REF!</definedName>
    <definedName name="Printtitles">'[6]A12-invsub'!#REF!</definedName>
    <definedName name="ratio" localSheetId="4">IF('[7]#REF'!$A$5&lt;=5,INDEX('[7]#REF'!F1:AC1,('[7]#REF'!$A$5*5)-4),'[7]#REF'!N1)</definedName>
    <definedName name="ratio">IF('[7]#REF'!$A$5&lt;=5,INDEX('[7]#REF'!F1:AC1,('[7]#REF'!$A$5*5)-4),'[7]#REF'!N1)</definedName>
    <definedName name="ratio1" localSheetId="4">IF('[7]#REF'!$A$5&lt;=5,INDEX('[7]#REF'!F1:AC1,('[7]#REF'!$A$5*5)-4),'[7]#REF'!R1)</definedName>
    <definedName name="ratio1">IF('[7]#REF'!$A$5&lt;=5,INDEX('[7]#REF'!F1:AC1,('[7]#REF'!$A$5*5)-4),'[7]#REF'!R1)</definedName>
    <definedName name="ratio2" localSheetId="4">IF('[7]#REF'!$A$5&lt;=5,INDEX('[7]#REF'!F1:AC1,('[7]#REF'!$A$5*5)-4),'[7]#REF'!V1)</definedName>
    <definedName name="ratio2">IF('[7]#REF'!$A$5&lt;=5,INDEX('[7]#REF'!F1:AC1,('[7]#REF'!$A$5*5)-4),'[7]#REF'!V1)</definedName>
    <definedName name="ratio3" localSheetId="4">IF('[7]#REF'!$A$5&lt;=5,INDEX('[7]#REF'!F1:AC1,('[7]#REF'!$A$5*5)-4),'[7]#REF'!Z1)</definedName>
    <definedName name="ratio3">IF('[7]#REF'!$A$5&lt;=5,INDEX('[7]#REF'!F1:AC1,('[7]#REF'!$A$5*5)-4),'[7]#REF'!Z1)</definedName>
    <definedName name="report" localSheetId="4">'[2]FA(NEW)'!$E$5:$G$45</definedName>
    <definedName name="report">'[2]FA(NEW)'!$E$5:$G$45</definedName>
    <definedName name="rik" localSheetId="4">IF(#REF!&lt;=5,INDEX(#REF!,(#REF!*5)-4),#REF!)</definedName>
    <definedName name="rik" localSheetId="5">IF(#REF!&lt;=5,INDEX(#REF!,(#REF!*5)-4),#REF!)</definedName>
    <definedName name="rik">IF(#REF!&lt;=5,INDEX(#REF!,(#REF!*5)-4),#REF!)</definedName>
    <definedName name="twpl" localSheetId="4">#REF!</definedName>
    <definedName name="twpl" localSheetId="5">#REF!</definedName>
    <definedName name="twpl">#REF!</definedName>
    <definedName name="variance" localSheetId="4">'[2]FA(NEW)'!$BI$5:$CF$44</definedName>
    <definedName name="variance">'[2]FA(NEW)'!$BI$5:$CF$44</definedName>
    <definedName name="ytdbs" localSheetId="4">#REF!</definedName>
    <definedName name="ytdbs" localSheetId="5">#REF!</definedName>
    <definedName name="ytdbs">#REF!</definedName>
    <definedName name="ytdbs1" localSheetId="4">#REF!</definedName>
    <definedName name="ytdbs1" localSheetId="5">#REF!</definedName>
    <definedName name="ytdbs1">#REF!</definedName>
    <definedName name="ytdpl" localSheetId="4">#REF!</definedName>
    <definedName name="ytdpl" localSheetId="5">#REF!</definedName>
    <definedName name="ytdpl">#REF!</definedName>
    <definedName name="ytdpl1" localSheetId="4">#REF!</definedName>
    <definedName name="ytdpl1" localSheetId="5">#REF!</definedName>
    <definedName name="ytdpl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" i="8" l="1"/>
  <c r="R28" i="7"/>
  <c r="Z20" i="7" l="1"/>
  <c r="J25" i="11" l="1"/>
  <c r="J22" i="11"/>
  <c r="J21" i="11"/>
  <c r="J17" i="11"/>
  <c r="J16" i="11"/>
  <c r="J11" i="11"/>
  <c r="J9" i="11"/>
  <c r="J10" i="11"/>
  <c r="J8" i="11"/>
  <c r="M18" i="11" l="1"/>
  <c r="H14" i="11" s="1"/>
  <c r="H18" i="11" s="1"/>
  <c r="J63" i="11"/>
  <c r="F63" i="11"/>
  <c r="H63" i="11"/>
  <c r="J54" i="11"/>
  <c r="J64" i="11" s="1"/>
  <c r="H54" i="11"/>
  <c r="F54" i="11"/>
  <c r="F64" i="11" s="1"/>
  <c r="J43" i="11"/>
  <c r="H43" i="11"/>
  <c r="F43" i="11"/>
  <c r="D43" i="11"/>
  <c r="A40" i="11"/>
  <c r="F23" i="11"/>
  <c r="J23" i="11" s="1"/>
  <c r="F15" i="11"/>
  <c r="J15" i="11" s="1"/>
  <c r="F14" i="11"/>
  <c r="J12" i="11"/>
  <c r="H12" i="11"/>
  <c r="F12" i="11"/>
  <c r="F19" i="11" l="1"/>
  <c r="J18" i="11"/>
  <c r="H19" i="11"/>
  <c r="H20" i="11" s="1"/>
  <c r="H24" i="11" s="1"/>
  <c r="H26" i="11" s="1"/>
  <c r="H29" i="11" s="1"/>
  <c r="J14" i="11"/>
  <c r="F20" i="11"/>
  <c r="F24" i="11" s="1"/>
  <c r="F26" i="11" s="1"/>
  <c r="F29" i="11" s="1"/>
  <c r="F35" i="11" s="1"/>
  <c r="D12" i="11"/>
  <c r="H64" i="11"/>
  <c r="F31" i="11" l="1"/>
  <c r="F45" i="11" s="1"/>
  <c r="F66" i="11" s="1"/>
  <c r="F69" i="11" s="1"/>
  <c r="F71" i="11" s="1"/>
  <c r="J29" i="11"/>
  <c r="J45" i="11" s="1"/>
  <c r="J66" i="11" s="1"/>
  <c r="J69" i="11" s="1"/>
  <c r="J19" i="11"/>
  <c r="J20" i="11" s="1"/>
  <c r="J24" i="11" s="1"/>
  <c r="J26" i="11" s="1"/>
  <c r="H35" i="11"/>
  <c r="H45" i="11"/>
  <c r="H66" i="11" s="1"/>
  <c r="H69" i="11" s="1"/>
  <c r="J35" i="11"/>
  <c r="P27" i="7" l="1"/>
  <c r="J65" i="1"/>
  <c r="F65" i="1"/>
  <c r="L19" i="8" l="1"/>
  <c r="R19" i="8" s="1"/>
  <c r="J85" i="10" l="1"/>
  <c r="J74" i="10"/>
  <c r="F85" i="10"/>
  <c r="F74" i="10"/>
  <c r="J40" i="10"/>
  <c r="J54" i="1"/>
  <c r="J66" i="1" s="1"/>
  <c r="F54" i="1"/>
  <c r="F66" i="1" s="1"/>
  <c r="J19" i="1"/>
  <c r="J12" i="1"/>
  <c r="F23" i="1"/>
  <c r="F19" i="1"/>
  <c r="F12" i="1"/>
  <c r="J85" i="4"/>
  <c r="J88" i="4" s="1"/>
  <c r="F87" i="4"/>
  <c r="J60" i="4"/>
  <c r="J49" i="4"/>
  <c r="J50" i="4" s="1"/>
  <c r="J61" i="4" s="1"/>
  <c r="F58" i="4"/>
  <c r="F60" i="4" s="1"/>
  <c r="F49" i="4"/>
  <c r="F46" i="4"/>
  <c r="F50" i="4" s="1"/>
  <c r="F61" i="4" s="1"/>
  <c r="J29" i="4"/>
  <c r="J16" i="4"/>
  <c r="F25" i="4"/>
  <c r="F29" i="4" s="1"/>
  <c r="F15" i="4"/>
  <c r="F16" i="4" s="1"/>
  <c r="AB20" i="7"/>
  <c r="J20" i="1" l="1"/>
  <c r="J24" i="1" s="1"/>
  <c r="J26" i="1" s="1"/>
  <c r="J29" i="1" s="1"/>
  <c r="J35" i="1" s="1"/>
  <c r="F30" i="4"/>
  <c r="F85" i="4"/>
  <c r="F88" i="4" s="1"/>
  <c r="F89" i="4" s="1"/>
  <c r="J30" i="4"/>
  <c r="J89" i="4"/>
  <c r="J45" i="1"/>
  <c r="J68" i="1" s="1"/>
  <c r="J71" i="1" s="1"/>
  <c r="J8" i="10"/>
  <c r="J34" i="10" s="1"/>
  <c r="J50" i="10" s="1"/>
  <c r="J55" i="10" s="1"/>
  <c r="J88" i="10" s="1"/>
  <c r="J90" i="10" s="1"/>
  <c r="J91" i="10" s="1"/>
  <c r="F20" i="1"/>
  <c r="F24" i="1" s="1"/>
  <c r="AD20" i="7"/>
  <c r="AF20" i="7" s="1"/>
  <c r="F26" i="1" l="1"/>
  <c r="F29" i="1" s="1"/>
  <c r="F35" i="1" s="1"/>
  <c r="F8" i="10"/>
  <c r="F34" i="10" s="1"/>
  <c r="F50" i="10" s="1"/>
  <c r="F55" i="10" s="1"/>
  <c r="F88" i="10" s="1"/>
  <c r="F90" i="10" s="1"/>
  <c r="F91" i="10" s="1"/>
  <c r="P18" i="8"/>
  <c r="F31" i="1" l="1"/>
  <c r="F45" i="1" s="1"/>
  <c r="F68" i="1" s="1"/>
  <c r="F71" i="1" s="1"/>
  <c r="F73" i="1" s="1"/>
  <c r="J28" i="7"/>
  <c r="J23" i="7"/>
  <c r="J25" i="7" s="1"/>
  <c r="T30" i="7"/>
  <c r="Z30" i="7" s="1"/>
  <c r="J31" i="7" l="1"/>
  <c r="AD26" i="7" l="1"/>
  <c r="A60" i="10" l="1"/>
  <c r="J43" i="1"/>
  <c r="H43" i="1"/>
  <c r="F43" i="1"/>
  <c r="D43" i="1"/>
  <c r="A40" i="1"/>
  <c r="J39" i="4"/>
  <c r="H39" i="4"/>
  <c r="F39" i="4"/>
  <c r="D39" i="4"/>
  <c r="E74" i="10" l="1"/>
  <c r="G17" i="8" l="1"/>
  <c r="I17" i="8"/>
  <c r="K17" i="8"/>
  <c r="M17" i="8"/>
  <c r="O17" i="8"/>
  <c r="G25" i="7" l="1"/>
  <c r="I25" i="7"/>
  <c r="M25" i="7"/>
  <c r="O25" i="7"/>
  <c r="Q25" i="7"/>
  <c r="S25" i="7"/>
  <c r="U25" i="7"/>
  <c r="W25" i="7"/>
  <c r="Y25" i="7"/>
  <c r="AA25" i="7"/>
  <c r="R11" i="8" l="1"/>
  <c r="F23" i="7"/>
  <c r="F25" i="7" s="1"/>
  <c r="AB15" i="7"/>
  <c r="AF15" i="7" s="1"/>
  <c r="Z15" i="7"/>
  <c r="E88" i="4" l="1"/>
  <c r="P13" i="8"/>
  <c r="R13" i="8" s="1"/>
  <c r="P12" i="8"/>
  <c r="R12" i="8" s="1"/>
  <c r="F14" i="8"/>
  <c r="F15" i="8" s="1"/>
  <c r="F17" i="8" s="1"/>
  <c r="H14" i="8"/>
  <c r="H15" i="8" s="1"/>
  <c r="H17" i="8" s="1"/>
  <c r="J14" i="8"/>
  <c r="J15" i="8" s="1"/>
  <c r="J17" i="8" s="1"/>
  <c r="N14" i="8"/>
  <c r="N15" i="8" s="1"/>
  <c r="N17" i="8" s="1"/>
  <c r="L14" i="8"/>
  <c r="L15" i="8" s="1"/>
  <c r="L17" i="8" s="1"/>
  <c r="P20" i="8"/>
  <c r="N20" i="8"/>
  <c r="J20" i="8"/>
  <c r="H20" i="8"/>
  <c r="F20" i="8"/>
  <c r="H12" i="1"/>
  <c r="R14" i="8" l="1"/>
  <c r="R15" i="8" s="1"/>
  <c r="P14" i="8"/>
  <c r="P15" i="8"/>
  <c r="P17" i="8" s="1"/>
  <c r="H21" i="8" l="1"/>
  <c r="F21" i="8"/>
  <c r="J21" i="8"/>
  <c r="N21" i="8"/>
  <c r="AB22" i="7" l="1"/>
  <c r="AF22" i="7" s="1"/>
  <c r="AB17" i="7"/>
  <c r="AF17" i="7" s="1"/>
  <c r="AB16" i="7"/>
  <c r="AF16" i="7" s="1"/>
  <c r="Z22" i="7"/>
  <c r="Z17" i="7"/>
  <c r="Z16" i="7"/>
  <c r="AD18" i="7"/>
  <c r="AD23" i="7" s="1"/>
  <c r="X18" i="7"/>
  <c r="X23" i="7" s="1"/>
  <c r="X25" i="7" s="1"/>
  <c r="V18" i="7"/>
  <c r="V23" i="7" s="1"/>
  <c r="V25" i="7" s="1"/>
  <c r="T18" i="7"/>
  <c r="R18" i="7"/>
  <c r="R23" i="7" s="1"/>
  <c r="R25" i="7" s="1"/>
  <c r="P18" i="7"/>
  <c r="P23" i="7" s="1"/>
  <c r="P25" i="7" s="1"/>
  <c r="N18" i="7"/>
  <c r="N23" i="7" s="1"/>
  <c r="L18" i="7"/>
  <c r="Z26" i="7"/>
  <c r="AB30" i="7"/>
  <c r="AF30" i="7" s="1"/>
  <c r="AD28" i="7"/>
  <c r="T28" i="7"/>
  <c r="N28" i="7"/>
  <c r="L28" i="7"/>
  <c r="H28" i="7"/>
  <c r="F28" i="7"/>
  <c r="F31" i="7" s="1"/>
  <c r="H23" i="7"/>
  <c r="F32" i="7"/>
  <c r="P32" i="7" l="1"/>
  <c r="N32" i="7"/>
  <c r="N25" i="7"/>
  <c r="N31" i="7" s="1"/>
  <c r="H32" i="7"/>
  <c r="H25" i="7"/>
  <c r="AD32" i="7"/>
  <c r="AD25" i="7"/>
  <c r="AD31" i="7" s="1"/>
  <c r="Z18" i="7"/>
  <c r="AB18" i="7"/>
  <c r="AF18" i="7" s="1"/>
  <c r="AG18" i="7" s="1"/>
  <c r="L23" i="7"/>
  <c r="T23" i="7"/>
  <c r="Z23" i="7" l="1"/>
  <c r="T25" i="7"/>
  <c r="T31" i="7" s="1"/>
  <c r="L32" i="7"/>
  <c r="L25" i="7"/>
  <c r="L31" i="7" s="1"/>
  <c r="H31" i="7"/>
  <c r="AB23" i="7"/>
  <c r="AF23" i="7" s="1"/>
  <c r="Z25" i="7" l="1"/>
  <c r="Z32" i="7"/>
  <c r="AB25" i="7"/>
  <c r="AF25" i="7" s="1"/>
  <c r="H54" i="1"/>
  <c r="H19" i="1"/>
  <c r="D12" i="1"/>
  <c r="AF32" i="7" l="1"/>
  <c r="AB32" i="7"/>
  <c r="H20" i="1"/>
  <c r="H24" i="1" l="1"/>
  <c r="F90" i="4"/>
  <c r="J90" i="4"/>
  <c r="H8" i="10" l="1"/>
  <c r="H34" i="10" s="1"/>
  <c r="H26" i="1"/>
  <c r="L18" i="8" l="1"/>
  <c r="H29" i="1"/>
  <c r="L20" i="8" l="1"/>
  <c r="L21" i="8" s="1"/>
  <c r="R18" i="8"/>
  <c r="R20" i="8" s="1"/>
  <c r="H45" i="1"/>
  <c r="H35" i="1"/>
  <c r="P21" i="8"/>
  <c r="R17" i="8"/>
  <c r="R21" i="8" l="1"/>
  <c r="H65" i="1" l="1"/>
  <c r="H66" i="1" s="1"/>
  <c r="H68" i="1" s="1"/>
  <c r="H71" i="1" s="1"/>
  <c r="D63" i="11" l="1"/>
  <c r="X27" i="7"/>
  <c r="X28" i="7" s="1"/>
  <c r="X31" i="7" s="1"/>
  <c r="V27" i="7"/>
  <c r="D65" i="1"/>
  <c r="V28" i="7" l="1"/>
  <c r="V31" i="7" l="1"/>
  <c r="D19" i="11" l="1"/>
  <c r="D20" i="11" s="1"/>
  <c r="D24" i="11" s="1"/>
  <c r="D26" i="11" s="1"/>
  <c r="D29" i="11" s="1"/>
  <c r="D19" i="1"/>
  <c r="D20" i="1" s="1"/>
  <c r="D24" i="1" s="1"/>
  <c r="D8" i="10" l="1"/>
  <c r="D34" i="10" s="1"/>
  <c r="D26" i="1"/>
  <c r="D29" i="1" s="1"/>
  <c r="D31" i="11"/>
  <c r="D45" i="11" s="1"/>
  <c r="D35" i="11"/>
  <c r="D31" i="1" l="1"/>
  <c r="D45" i="1" s="1"/>
  <c r="P26" i="7"/>
  <c r="D35" i="1"/>
  <c r="P28" i="7" l="1"/>
  <c r="AB26" i="7"/>
  <c r="AF26" i="7" s="1"/>
  <c r="AG26" i="7" s="1"/>
  <c r="P31" i="7" l="1"/>
  <c r="D54" i="11" l="1"/>
  <c r="D64" i="11" s="1"/>
  <c r="D66" i="11" s="1"/>
  <c r="D69" i="11" s="1"/>
  <c r="D71" i="11" s="1"/>
  <c r="D54" i="1"/>
  <c r="D66" i="1" s="1"/>
  <c r="D68" i="1" l="1"/>
  <c r="D71" i="1" s="1"/>
  <c r="D73" i="1" l="1"/>
  <c r="J33" i="7" l="1"/>
  <c r="H23" i="8" l="1"/>
  <c r="P23" i="8" l="1"/>
  <c r="P24" i="8" s="1"/>
  <c r="L33" i="7"/>
  <c r="J23" i="8"/>
  <c r="H33" i="7"/>
  <c r="N33" i="7"/>
  <c r="H29" i="4"/>
  <c r="F23" i="8" l="1"/>
  <c r="F33" i="7" l="1"/>
  <c r="L23" i="8" l="1"/>
  <c r="H85" i="4"/>
  <c r="H88" i="4" s="1"/>
  <c r="R23" i="8" l="1"/>
  <c r="H16" i="4" l="1"/>
  <c r="H30" i="4" s="1"/>
  <c r="H50" i="4" l="1"/>
  <c r="D60" i="4" l="1"/>
  <c r="D29" i="4" l="1"/>
  <c r="D50" i="4" l="1"/>
  <c r="D61" i="4" s="1"/>
  <c r="D16" i="4"/>
  <c r="D30" i="4" s="1"/>
  <c r="AD33" i="7" l="1"/>
  <c r="P33" i="7" l="1"/>
  <c r="D85" i="4"/>
  <c r="D88" i="4" l="1"/>
  <c r="D89" i="4" l="1"/>
  <c r="D90" i="4" s="1"/>
  <c r="H60" i="4" l="1"/>
  <c r="H61" i="4" s="1"/>
  <c r="H89" i="4" s="1"/>
  <c r="H90" i="4" s="1"/>
  <c r="H85" i="10" l="1"/>
  <c r="H74" i="10" l="1"/>
  <c r="D74" i="10" l="1"/>
  <c r="D85" i="10" l="1"/>
  <c r="H50" i="10" l="1"/>
  <c r="H55" i="10" l="1"/>
  <c r="H88" i="10" s="1"/>
  <c r="H90" i="10" s="1"/>
  <c r="H91" i="10" s="1"/>
  <c r="D50" i="10" l="1"/>
  <c r="D55" i="10" s="1"/>
  <c r="D88" i="10" s="1"/>
  <c r="D90" i="10" s="1"/>
  <c r="D91" i="10" s="1"/>
  <c r="Z28" i="7" l="1"/>
  <c r="R31" i="7"/>
  <c r="AB28" i="7"/>
  <c r="AF28" i="7" s="1"/>
  <c r="Z31" i="7" l="1"/>
  <c r="Z33" i="7" s="1"/>
  <c r="AB27" i="7"/>
  <c r="AF27" i="7" s="1"/>
  <c r="AG28" i="7" s="1"/>
  <c r="Z27" i="7"/>
  <c r="AB31" i="7"/>
  <c r="AB33" i="7" l="1"/>
  <c r="AF31" i="7"/>
  <c r="AF33" i="7" l="1"/>
  <c r="AG31" i="7"/>
</calcChain>
</file>

<file path=xl/sharedStrings.xml><?xml version="1.0" encoding="utf-8"?>
<sst xmlns="http://schemas.openxmlformats.org/spreadsheetml/2006/main" count="447" uniqueCount="292">
  <si>
    <t>Laguna Resorts &amp; Hotels Public Company Limited and its subsidiaries</t>
  </si>
  <si>
    <t>(Unit: Baht)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</si>
  <si>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</si>
  <si>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</si>
  <si>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</si>
  <si>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</si>
  <si>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</si>
  <si>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</si>
  <si>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</si>
  <si>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</si>
  <si>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</si>
  <si>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 xml:space="preserve">Long-term trade accounts receivable </t>
  </si>
  <si>
    <t>Investments in subsidiaries</t>
  </si>
  <si>
    <t>Long-term loans to subsidiaries</t>
  </si>
  <si>
    <t>Goodwill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</si>
  <si>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</si>
  <si>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</si>
  <si>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</si>
  <si>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</si>
  <si>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</si>
  <si>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</si>
  <si>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>Current portion of long-term loans from financial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</si>
  <si>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</si>
  <si>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</si>
  <si>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</si>
  <si>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</si>
  <si>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</si>
  <si>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</si>
  <si>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</si>
  <si>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</si>
  <si>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</si>
  <si>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</si>
  <si>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</si>
  <si>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</si>
  <si>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</si>
  <si>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</si>
  <si>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</si>
  <si>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</si>
  <si>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</si>
  <si>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</si>
  <si>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</si>
  <si>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</si>
  <si>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</si>
  <si>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</si>
  <si>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</si>
  <si>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</si>
  <si>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</si>
  <si>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</si>
  <si>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</si>
  <si>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</si>
  <si>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</si>
  <si>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Issued and fully</t>
  </si>
  <si>
    <t>paid-up</t>
  </si>
  <si>
    <t xml:space="preserve">Revaluation </t>
  </si>
  <si>
    <t>Appropriated -</t>
  </si>
  <si>
    <t>share capital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</si>
  <si>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</si>
  <si>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</si>
  <si>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</si>
  <si>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</si>
  <si>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</si>
  <si>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</si>
  <si>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</si>
  <si>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</si>
  <si>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Property development cost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</si>
  <si>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</si>
  <si>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</si>
  <si>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</si>
  <si>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</si>
  <si>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</si>
  <si>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</si>
  <si>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</si>
  <si>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</si>
  <si>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</si>
  <si>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</si>
  <si>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</si>
  <si>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</si>
  <si>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</si>
  <si>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</si>
  <si>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</si>
  <si>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</si>
  <si>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</si>
  <si>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</si>
  <si>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</si>
  <si>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</si>
  <si>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>shareholders of</t>
  </si>
  <si>
    <t xml:space="preserve">of the </t>
  </si>
  <si>
    <t>foreign currency</t>
  </si>
  <si>
    <t>equity</t>
  </si>
  <si>
    <t>the Company</t>
  </si>
  <si>
    <t>subsidiaries</t>
  </si>
  <si>
    <t>Equity attributable to owner of the Company</t>
  </si>
  <si>
    <t>Income statement</t>
  </si>
  <si>
    <t>Statement of changes in shareholders' equity (continued)</t>
  </si>
  <si>
    <t>Advance received from customers</t>
  </si>
  <si>
    <t>Statement of changes in shareholders' equity</t>
  </si>
  <si>
    <t>Statement of financial position</t>
  </si>
  <si>
    <t>Statement of financial position (continued)</t>
  </si>
  <si>
    <t>Statement of comprehensive income</t>
  </si>
  <si>
    <t>Equity attributable to</t>
  </si>
  <si>
    <t xml:space="preserve"> non-controlling</t>
  </si>
  <si>
    <t xml:space="preserve">Equity attributable to non-controlling interests </t>
  </si>
  <si>
    <t xml:space="preserve">   of the subsidiaries</t>
  </si>
  <si>
    <t>Income tax payable</t>
  </si>
  <si>
    <t>Directors</t>
  </si>
  <si>
    <t>Deferred tax assets</t>
  </si>
  <si>
    <t>Deferred tax liabilities</t>
  </si>
  <si>
    <t>Other  components of shareholders' equity</t>
  </si>
  <si>
    <t>Long-term loans from subsidiaries</t>
  </si>
  <si>
    <t>Revaluation</t>
  </si>
  <si>
    <t xml:space="preserve">components of </t>
  </si>
  <si>
    <t xml:space="preserve">   to profit or loss in subsequent periods</t>
  </si>
  <si>
    <t>Profit (loss) attributable to:</t>
  </si>
  <si>
    <t>Share of other</t>
  </si>
  <si>
    <t>comprehensive</t>
  </si>
  <si>
    <t>Exchange differences on translation of financial statements</t>
  </si>
  <si>
    <t>from associates</t>
  </si>
  <si>
    <t xml:space="preserve">   to profit or loss in subsequent periods, net of income tax</t>
  </si>
  <si>
    <t>Cost to obtain contracts with customers</t>
  </si>
  <si>
    <t>Share of profit from investments in associates</t>
  </si>
  <si>
    <t>Revenue from office rental operations</t>
  </si>
  <si>
    <t>Revenue from hotel operations</t>
  </si>
  <si>
    <t>Revenue from property development operations</t>
  </si>
  <si>
    <t>Long-term loan from related company</t>
  </si>
  <si>
    <t>Other non-current financial assets</t>
  </si>
  <si>
    <t>Right-of-use assets</t>
  </si>
  <si>
    <t>Current portion of lease liabilities</t>
  </si>
  <si>
    <t>Lease liabilities, net of current portion</t>
  </si>
  <si>
    <t>investments in equity</t>
  </si>
  <si>
    <t>designated at fair</t>
  </si>
  <si>
    <t>value through other</t>
  </si>
  <si>
    <t>comprehensive income</t>
  </si>
  <si>
    <t xml:space="preserve">  in foreign currency</t>
  </si>
  <si>
    <t>Finance income</t>
  </si>
  <si>
    <t>Revenues</t>
  </si>
  <si>
    <t>Total revenues</t>
  </si>
  <si>
    <t>Loss for the year</t>
  </si>
  <si>
    <t>Long-term loans from financial institutions,</t>
  </si>
  <si>
    <t xml:space="preserve">   net of current portion</t>
  </si>
  <si>
    <t>income</t>
  </si>
  <si>
    <t xml:space="preserve">   financial institutions</t>
  </si>
  <si>
    <t xml:space="preserve">   at fair value through other comprehensive income</t>
  </si>
  <si>
    <t>Loss before income tax expenses</t>
  </si>
  <si>
    <t>Cash flow statement</t>
  </si>
  <si>
    <t>Cash flows from operating activities</t>
  </si>
  <si>
    <t xml:space="preserve">   to net cash provided by (paid from) operating activities:</t>
  </si>
  <si>
    <t xml:space="preserve">   Depreciation</t>
  </si>
  <si>
    <t xml:space="preserve">   Share of profit from investments in associates</t>
  </si>
  <si>
    <t xml:space="preserve">   Write off property, plant and equipment</t>
  </si>
  <si>
    <t xml:space="preserve">   Deferred gain on right-of-use assets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</si>
  <si>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</si>
  <si>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</si>
  <si>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</si>
  <si>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</si>
  <si>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</si>
  <si>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</si>
  <si>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</si>
  <si>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</si>
  <si>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Cost to obtain contracts with customers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</si>
  <si>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</si>
  <si>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</si>
  <si>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</si>
  <si>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</si>
  <si>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</si>
  <si>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</si>
  <si>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</si>
  <si>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Other non-current liabilities</t>
  </si>
  <si>
    <t xml:space="preserve">Cash flows from (used in) operating activities </t>
  </si>
  <si>
    <t xml:space="preserve">   Cash received from income tax refund</t>
  </si>
  <si>
    <t>Net cash flows from (used in) operating activities</t>
  </si>
  <si>
    <t>Cash flow statement (continued)</t>
  </si>
  <si>
    <t>Cash flows from investing activities</t>
  </si>
  <si>
    <t>Cash received from long-term loans to subsidiaries</t>
  </si>
  <si>
    <t>Cash paid for long-term loans to subsidiaries</t>
  </si>
  <si>
    <t>Cash received from sales of property, plant and equipment</t>
  </si>
  <si>
    <t>Cash paid for acquisition of property, plant and equipment</t>
  </si>
  <si>
    <t>Cash flows from financing activities</t>
  </si>
  <si>
    <t>Draw down of long-term loans from subsidiaries</t>
  </si>
  <si>
    <t>Repayment of long-term loans from subsidiaries</t>
  </si>
  <si>
    <t>Draw down of long-term loans from financial institutions</t>
  </si>
  <si>
    <t>Repayment of long-term loans from financial institutions</t>
  </si>
  <si>
    <t xml:space="preserve">Payment of lease liabilities </t>
  </si>
  <si>
    <t>Dividend paid</t>
  </si>
  <si>
    <t>Net cash flows from (used in) financing activities</t>
  </si>
  <si>
    <t>Net exchange differences on translation of financial</t>
  </si>
  <si>
    <t xml:space="preserve">   statements in foreign currency</t>
  </si>
  <si>
    <t>Net increase (decrease) in cash and cash equivalents</t>
  </si>
  <si>
    <t>Cash and cash equivalents at beginning of year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</si>
  <si>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</si>
  <si>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</si>
  <si>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</si>
  <si>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</si>
  <si>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Transfer of property development cost to property,</t>
  </si>
  <si>
    <t xml:space="preserve">      plant and equipment</t>
  </si>
  <si>
    <t xml:space="preserve">   Transfer of property, plant and equipment to property  </t>
  </si>
  <si>
    <t xml:space="preserve">      development cost</t>
  </si>
  <si>
    <t xml:space="preserve">   Addition of right-of-use assets and lease liabilities</t>
  </si>
  <si>
    <t>Increase in fixed deposit</t>
  </si>
  <si>
    <t>Profit (loss) for the year</t>
  </si>
  <si>
    <t>Other comprehensive income (loss) :</t>
  </si>
  <si>
    <t>Share of other comprehensive income (loss) from associates</t>
  </si>
  <si>
    <t>Other comprehensive income (loss) not to be reclassified</t>
  </si>
  <si>
    <t>Other comprehensive income (loss) for the year</t>
  </si>
  <si>
    <t>Total comprehensive income (loss) for the year</t>
  </si>
  <si>
    <t>Total comprehensive income (loss) attributable to:</t>
  </si>
  <si>
    <t xml:space="preserve">Other comprehensive </t>
  </si>
  <si>
    <t>surplus on assets</t>
  </si>
  <si>
    <t xml:space="preserve">   Cash received from interest income</t>
  </si>
  <si>
    <t xml:space="preserve">   Cash paid for interest expenses</t>
  </si>
  <si>
    <t xml:space="preserve">   Cash paid for income tax</t>
  </si>
  <si>
    <t>Repayment of long-term loans from related company</t>
  </si>
  <si>
    <t>Other comprehensive income (loss) to be reclassified</t>
  </si>
  <si>
    <t xml:space="preserve">Total comprehensive income (loss) for the year </t>
  </si>
  <si>
    <t xml:space="preserve">   Share of other comprehensive income (loss) from associates</t>
  </si>
  <si>
    <t>Cash and cash equivalents at end of year (Note 6)</t>
  </si>
  <si>
    <t>2022</t>
  </si>
  <si>
    <t>Balance as at 1 January 2022</t>
  </si>
  <si>
    <t>Balance as at 31 December 2022</t>
  </si>
  <si>
    <t>in subsidiary</t>
  </si>
  <si>
    <t>of investment</t>
  </si>
  <si>
    <t>in proportion</t>
  </si>
  <si>
    <t>from change</t>
  </si>
  <si>
    <t>Share discount</t>
  </si>
  <si>
    <t>Share discount from change in proportion of</t>
  </si>
  <si>
    <t>Other current financial assets</t>
  </si>
  <si>
    <t xml:space="preserve">   investment in subsidiary</t>
  </si>
  <si>
    <t>Operating profit (loss)</t>
  </si>
  <si>
    <t>Income tax (expenses) revenue</t>
  </si>
  <si>
    <t>Basic earnings per share</t>
  </si>
  <si>
    <t>Profit (loss) attributable to equity holders of the Company</t>
  </si>
  <si>
    <t>Earnings per share</t>
  </si>
  <si>
    <t xml:space="preserve">Gain on changes in value of equity investments designated  </t>
  </si>
  <si>
    <t xml:space="preserve">Other comprehensive income not to be reclassified </t>
  </si>
  <si>
    <t>Other comprehensive income for the year</t>
  </si>
  <si>
    <t>Gains on</t>
  </si>
  <si>
    <t>income (loss)</t>
  </si>
  <si>
    <t xml:space="preserve">   Reclassify long-term restricted deposits at financial institutions to</t>
  </si>
  <si>
    <t xml:space="preserve">   Allowance for expected credit losses (reversal)</t>
  </si>
  <si>
    <t xml:space="preserve">   Reduction of inventory to net realisable value </t>
  </si>
  <si>
    <t xml:space="preserve">   Dividend income from investment in associate</t>
  </si>
  <si>
    <t xml:space="preserve">   Gain on revaluation of investment properties</t>
  </si>
  <si>
    <t xml:space="preserve">   (Gain) loss on sales of property, plant and equipment</t>
  </si>
  <si>
    <t>Decrease in bank overdrafts and short-term loans from</t>
  </si>
  <si>
    <t xml:space="preserve">   Reduction of property development cost</t>
  </si>
  <si>
    <t>Dividend received from investment in associate</t>
  </si>
  <si>
    <t xml:space="preserve">      other current financial assets</t>
  </si>
  <si>
    <t>For the year ended 31 December 2023</t>
  </si>
  <si>
    <t>Balance as at 1 January 2023</t>
  </si>
  <si>
    <t>Balance as at 31 December 2023</t>
  </si>
  <si>
    <t>As at 31 December 2023</t>
  </si>
  <si>
    <t>2023</t>
  </si>
  <si>
    <t>Actuarial loss</t>
  </si>
  <si>
    <t xml:space="preserve">   Bad debt expenses</t>
  </si>
  <si>
    <t xml:space="preserve">      investment properties</t>
  </si>
  <si>
    <t>Cost Utilities</t>
  </si>
  <si>
    <t>LBTL</t>
  </si>
  <si>
    <t>BGL</t>
  </si>
  <si>
    <t>TWPL</t>
  </si>
  <si>
    <t>PKRD</t>
  </si>
  <si>
    <t>Adjustment</t>
  </si>
  <si>
    <t>After adjustment  2022</t>
  </si>
  <si>
    <t>Change in revaluation of assets, net of income tax</t>
  </si>
  <si>
    <t xml:space="preserve">   Write off property development cost</t>
  </si>
  <si>
    <t>Profit for the year</t>
  </si>
  <si>
    <t>Profit (loss) before income tax expenses</t>
  </si>
  <si>
    <t xml:space="preserve">Other comprehensive income (loss) not to be reclassified </t>
  </si>
  <si>
    <t xml:space="preserve">      to net realisable value</t>
  </si>
  <si>
    <t xml:space="preserve">   Impairment of property, plant and equipment (reversal)</t>
  </si>
  <si>
    <t xml:space="preserve">   Provision for long-term employee benefits</t>
  </si>
  <si>
    <t>Decrease in long-term restricted deposits at financial institutions</t>
  </si>
  <si>
    <t>Net cash flows from (used in) investing activities</t>
  </si>
  <si>
    <t>Short-term loans from financial institutions</t>
  </si>
  <si>
    <t>Share of other comprehensive income from associates</t>
  </si>
  <si>
    <t>Actuarial loss, net of income tax</t>
  </si>
  <si>
    <t xml:space="preserve">   at fair value through other comprehensive income, </t>
  </si>
  <si>
    <t xml:space="preserve">   net of income tax</t>
  </si>
  <si>
    <t xml:space="preserve">   Dividend income from investment in subsidiaries</t>
  </si>
  <si>
    <t xml:space="preserve">   Reversal of impairment of right-of-use assets </t>
  </si>
  <si>
    <t xml:space="preserve">   Transfer of property, plant and equipment to</t>
  </si>
  <si>
    <t xml:space="preserve">   Transfer of property development cost to</t>
  </si>
  <si>
    <t xml:space="preserve">   Provision for legal case</t>
  </si>
  <si>
    <t xml:space="preserve">   Addition revaluation surplus set up during the year</t>
  </si>
  <si>
    <t>Adjustments to reconcile profit (loss) before income tax expenses</t>
  </si>
  <si>
    <t xml:space="preserve">   Provision for fixed guaranteed returns</t>
  </si>
  <si>
    <t xml:space="preserve">   Provision for timeshare memberships</t>
  </si>
  <si>
    <t>Dividend received from investments in subsidiaries</t>
  </si>
  <si>
    <t xml:space="preserve">Cash paid for acquisition of investment properties </t>
  </si>
  <si>
    <t xml:space="preserve">Reversal of revaluation surplus on disposal  </t>
  </si>
  <si>
    <t xml:space="preserve">   of assets (Note 26)</t>
  </si>
  <si>
    <t xml:space="preserve">Reversal of revaluation surplus on disposal </t>
  </si>
  <si>
    <t xml:space="preserve">   Cash paid for long-term employee benefits</t>
  </si>
  <si>
    <t xml:space="preserve">   Cash paid for legal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</si>
</sst>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#,##0.0_);\(#,##0.0\)"/>
    <numFmt numFmtId="168" formatCode="_-* #,##0.00_-;\-* #,##0.00_-;_-* &quot;-&quot;??_-;_-@_-"/>
  </numFmts>
  <fonts count="30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10" fillId="2" borderId="0">
      <protection hidden="1"/>
    </xf>
    <xf numFmtId="166" fontId="11" fillId="0" borderId="0" applyFont="0" applyFill="0" applyBorder="0" applyAlignment="0" applyProtection="0"/>
    <xf numFmtId="37" fontId="12" fillId="0" borderId="0"/>
    <xf numFmtId="0" fontId="8" fillId="0" borderId="0"/>
    <xf numFmtId="9" fontId="1" fillId="0" borderId="0" applyFont="0" applyFill="0" applyBorder="0" applyAlignment="0" applyProtection="0"/>
    <xf numFmtId="37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22" fillId="0" borderId="0"/>
    <xf numFmtId="0" fontId="22" fillId="0" borderId="0"/>
    <xf numFmtId="0" fontId="29" fillId="0" borderId="0"/>
    <xf numFmtId="168" fontId="29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89">
    <xf numFmtId="0" fontId="0" fillId="0" borderId="0" xfId="0"/>
    <xf numFmtId="41" fontId="3" fillId="0" borderId="0" xfId="0" applyNumberFormat="1" applyFont="1" applyAlignment="1">
      <alignment vertical="center"/>
    </xf>
    <xf numFmtId="41" fontId="3" fillId="0" borderId="0" xfId="0" applyNumberFormat="1" applyFont="1" applyAlignment="1">
      <alignment horizontal="right" vertical="center"/>
    </xf>
    <xf numFmtId="41" fontId="3" fillId="0" borderId="1" xfId="0" applyNumberFormat="1" applyFont="1" applyBorder="1" applyAlignment="1">
      <alignment horizontal="right" vertical="center"/>
    </xf>
    <xf numFmtId="0" fontId="2" fillId="0" borderId="0" xfId="6" applyFont="1" applyAlignment="1">
      <alignment vertical="center"/>
    </xf>
    <xf numFmtId="41" fontId="3" fillId="0" borderId="0" xfId="6" applyNumberFormat="1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3" fillId="0" borderId="0" xfId="6" applyFont="1" applyAlignment="1">
      <alignment horizontal="center"/>
    </xf>
    <xf numFmtId="41" fontId="3" fillId="0" borderId="1" xfId="0" applyNumberFormat="1" applyFont="1" applyBorder="1" applyAlignment="1">
      <alignment horizontal="left" vertical="center"/>
    </xf>
    <xf numFmtId="41" fontId="3" fillId="0" borderId="0" xfId="0" applyNumberFormat="1" applyFont="1" applyAlignment="1">
      <alignment horizontal="left" vertical="center"/>
    </xf>
    <xf numFmtId="41" fontId="3" fillId="0" borderId="5" xfId="0" applyNumberFormat="1" applyFont="1" applyBorder="1" applyAlignment="1">
      <alignment horizontal="right" vertical="center"/>
    </xf>
    <xf numFmtId="41" fontId="3" fillId="0" borderId="0" xfId="6" applyNumberFormat="1" applyFont="1" applyAlignment="1">
      <alignment vertical="center"/>
    </xf>
    <xf numFmtId="41" fontId="6" fillId="0" borderId="0" xfId="1" applyNumberFormat="1" applyFont="1" applyFill="1" applyBorder="1" applyAlignment="1">
      <alignment vertical="center"/>
    </xf>
    <xf numFmtId="41" fontId="6" fillId="0" borderId="1" xfId="1" applyNumberFormat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37" fontId="19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37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37" fontId="11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37" fontId="19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41" fontId="11" fillId="0" borderId="0" xfId="0" applyNumberFormat="1" applyFont="1" applyAlignment="1">
      <alignment vertical="center"/>
    </xf>
    <xf numFmtId="41" fontId="11" fillId="0" borderId="1" xfId="0" applyNumberFormat="1" applyFont="1" applyBorder="1" applyAlignment="1">
      <alignment vertical="center"/>
    </xf>
    <xf numFmtId="41" fontId="11" fillId="0" borderId="0" xfId="0" applyNumberFormat="1" applyFont="1" applyAlignment="1">
      <alignment horizontal="right" vertical="center"/>
    </xf>
    <xf numFmtId="41" fontId="11" fillId="0" borderId="3" xfId="0" applyNumberFormat="1" applyFont="1" applyBorder="1" applyAlignment="1">
      <alignment vertical="center"/>
    </xf>
    <xf numFmtId="43" fontId="11" fillId="0" borderId="3" xfId="1" applyFont="1" applyFill="1" applyBorder="1" applyAlignment="1">
      <alignment vertical="center"/>
    </xf>
    <xf numFmtId="43" fontId="11" fillId="0" borderId="0" xfId="1" applyFont="1" applyFill="1" applyAlignment="1">
      <alignment vertical="center"/>
    </xf>
    <xf numFmtId="0" fontId="21" fillId="0" borderId="0" xfId="0" applyFont="1" applyAlignment="1">
      <alignment vertical="center"/>
    </xf>
    <xf numFmtId="41" fontId="11" fillId="0" borderId="2" xfId="0" applyNumberFormat="1" applyFont="1" applyBorder="1" applyAlignment="1">
      <alignment vertical="center"/>
    </xf>
    <xf numFmtId="39" fontId="11" fillId="0" borderId="0" xfId="0" applyNumberFormat="1" applyFont="1" applyAlignment="1">
      <alignment vertical="center"/>
    </xf>
    <xf numFmtId="37" fontId="11" fillId="0" borderId="0" xfId="0" applyNumberFormat="1" applyFont="1" applyAlignment="1">
      <alignment horizontal="center" vertical="center"/>
    </xf>
    <xf numFmtId="41" fontId="11" fillId="0" borderId="0" xfId="1" applyNumberFormat="1" applyFont="1" applyFill="1" applyAlignment="1">
      <alignment vertical="center"/>
    </xf>
    <xf numFmtId="2" fontId="11" fillId="0" borderId="0" xfId="0" applyNumberFormat="1" applyFont="1" applyAlignment="1">
      <alignment vertical="center"/>
    </xf>
    <xf numFmtId="41" fontId="11" fillId="0" borderId="1" xfId="0" applyNumberFormat="1" applyFont="1" applyBorder="1" applyAlignment="1">
      <alignment horizontal="right" vertical="center"/>
    </xf>
    <xf numFmtId="0" fontId="18" fillId="0" borderId="0" xfId="6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11" fillId="0" borderId="0" xfId="1" applyNumberFormat="1" applyFont="1" applyFill="1" applyAlignment="1">
      <alignment vertical="center"/>
    </xf>
    <xf numFmtId="164" fontId="11" fillId="0" borderId="1" xfId="1" applyNumberFormat="1" applyFont="1" applyFill="1" applyBorder="1" applyAlignment="1">
      <alignment vertical="center"/>
    </xf>
    <xf numFmtId="164" fontId="11" fillId="0" borderId="2" xfId="1" applyNumberFormat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horizontal="right" vertical="center"/>
    </xf>
    <xf numFmtId="164" fontId="11" fillId="0" borderId="5" xfId="1" applyNumberFormat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41" fontId="16" fillId="0" borderId="0" xfId="1" applyNumberFormat="1" applyFont="1" applyFill="1" applyBorder="1" applyAlignment="1">
      <alignment vertical="center"/>
    </xf>
    <xf numFmtId="41" fontId="11" fillId="0" borderId="0" xfId="0" applyNumberFormat="1" applyFont="1" applyAlignment="1">
      <alignment horizontal="center" vertical="center"/>
    </xf>
    <xf numFmtId="41" fontId="11" fillId="0" borderId="2" xfId="1" applyNumberFormat="1" applyFont="1" applyFill="1" applyBorder="1" applyAlignment="1">
      <alignment vertical="center"/>
    </xf>
    <xf numFmtId="41" fontId="11" fillId="0" borderId="0" xfId="0" quotePrefix="1" applyNumberFormat="1" applyFont="1" applyAlignment="1">
      <alignment horizontal="right" vertical="center"/>
    </xf>
    <xf numFmtId="41" fontId="11" fillId="0" borderId="0" xfId="7" applyNumberFormat="1" applyFont="1" applyFill="1" applyBorder="1" applyAlignment="1">
      <alignment vertical="center"/>
    </xf>
    <xf numFmtId="41" fontId="11" fillId="0" borderId="1" xfId="1" applyNumberFormat="1" applyFont="1" applyFill="1" applyBorder="1" applyAlignment="1">
      <alignment vertical="center"/>
    </xf>
    <xf numFmtId="41" fontId="11" fillId="0" borderId="0" xfId="7" applyNumberFormat="1" applyFont="1" applyFill="1" applyAlignment="1">
      <alignment vertical="center"/>
    </xf>
    <xf numFmtId="41" fontId="11" fillId="0" borderId="3" xfId="1" applyNumberFormat="1" applyFont="1" applyFill="1" applyBorder="1" applyAlignment="1">
      <alignment vertical="center"/>
    </xf>
    <xf numFmtId="41" fontId="11" fillId="0" borderId="0" xfId="1" applyNumberFormat="1" applyFont="1" applyFill="1" applyAlignment="1">
      <alignment horizontal="right" vertical="center"/>
    </xf>
    <xf numFmtId="41" fontId="11" fillId="0" borderId="0" xfId="1" quotePrefix="1" applyNumberFormat="1" applyFont="1" applyFill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6" xfId="0" applyFont="1" applyBorder="1" applyAlignment="1">
      <alignment vertical="center"/>
    </xf>
    <xf numFmtId="0" fontId="3" fillId="0" borderId="0" xfId="6" applyFont="1" applyAlignment="1">
      <alignment horizontal="right" vertical="center"/>
    </xf>
    <xf numFmtId="164" fontId="6" fillId="0" borderId="0" xfId="1" applyNumberFormat="1" applyFont="1" applyFill="1" applyBorder="1" applyAlignment="1">
      <alignment horizontal="right" vertical="center"/>
    </xf>
    <xf numFmtId="164" fontId="6" fillId="0" borderId="0" xfId="1" applyNumberFormat="1" applyFont="1" applyFill="1" applyBorder="1" applyAlignment="1">
      <alignment vertical="center"/>
    </xf>
    <xf numFmtId="43" fontId="23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/>
    </xf>
    <xf numFmtId="43" fontId="19" fillId="0" borderId="0" xfId="1" applyFont="1" applyFill="1" applyAlignment="1">
      <alignment vertical="center"/>
    </xf>
    <xf numFmtId="43" fontId="11" fillId="0" borderId="0" xfId="1" applyFont="1" applyFill="1" applyAlignment="1">
      <alignment horizontal="center" vertical="center"/>
    </xf>
    <xf numFmtId="43" fontId="19" fillId="0" borderId="0" xfId="1" applyFont="1" applyFill="1" applyAlignment="1">
      <alignment horizontal="center" vertical="center"/>
    </xf>
    <xf numFmtId="43" fontId="11" fillId="0" borderId="0" xfId="1" applyFont="1" applyFill="1" applyBorder="1" applyAlignment="1">
      <alignment vertical="center"/>
    </xf>
    <xf numFmtId="0" fontId="3" fillId="0" borderId="1" xfId="6" applyFont="1" applyBorder="1" applyAlignment="1">
      <alignment horizontal="center" vertical="center"/>
    </xf>
    <xf numFmtId="0" fontId="19" fillId="0" borderId="0" xfId="13" applyFont="1" applyAlignment="1">
      <alignment vertical="center"/>
    </xf>
    <xf numFmtId="167" fontId="19" fillId="0" borderId="0" xfId="13" applyNumberFormat="1" applyFont="1" applyAlignment="1">
      <alignment vertical="center"/>
    </xf>
    <xf numFmtId="37" fontId="19" fillId="0" borderId="0" xfId="13" applyNumberFormat="1" applyFont="1" applyAlignment="1">
      <alignment vertical="center"/>
    </xf>
    <xf numFmtId="0" fontId="11" fillId="0" borderId="0" xfId="13" applyFont="1" applyAlignment="1">
      <alignment horizontal="center" vertical="center"/>
    </xf>
    <xf numFmtId="167" fontId="11" fillId="0" borderId="0" xfId="13" applyNumberFormat="1" applyFont="1" applyAlignment="1">
      <alignment vertical="center"/>
    </xf>
    <xf numFmtId="0" fontId="11" fillId="0" borderId="0" xfId="13" applyFont="1" applyAlignment="1">
      <alignment vertical="center"/>
    </xf>
    <xf numFmtId="37" fontId="11" fillId="0" borderId="0" xfId="13" applyNumberFormat="1" applyFont="1" applyAlignment="1">
      <alignment vertical="center"/>
    </xf>
    <xf numFmtId="167" fontId="11" fillId="0" borderId="0" xfId="13" applyNumberFormat="1" applyFont="1" applyAlignment="1">
      <alignment horizontal="right" vertical="center"/>
    </xf>
    <xf numFmtId="37" fontId="11" fillId="0" borderId="0" xfId="13" applyNumberFormat="1" applyFont="1" applyAlignment="1">
      <alignment horizontal="right" vertical="center"/>
    </xf>
    <xf numFmtId="0" fontId="19" fillId="0" borderId="0" xfId="13" applyFont="1" applyAlignment="1">
      <alignment horizontal="center" vertical="center"/>
    </xf>
    <xf numFmtId="167" fontId="19" fillId="0" borderId="1" xfId="13" applyNumberFormat="1" applyFont="1" applyBorder="1" applyAlignment="1">
      <alignment horizontal="center" vertical="center"/>
    </xf>
    <xf numFmtId="0" fontId="19" fillId="0" borderId="1" xfId="13" applyFont="1" applyBorder="1" applyAlignment="1">
      <alignment horizontal="center" vertical="center"/>
    </xf>
    <xf numFmtId="37" fontId="19" fillId="0" borderId="1" xfId="13" applyNumberFormat="1" applyFont="1" applyBorder="1" applyAlignment="1">
      <alignment horizontal="center" vertical="center"/>
    </xf>
    <xf numFmtId="0" fontId="20" fillId="0" borderId="0" xfId="13" applyFont="1" applyAlignment="1">
      <alignment horizontal="center" vertical="center"/>
    </xf>
    <xf numFmtId="0" fontId="11" fillId="0" borderId="2" xfId="13" applyFont="1" applyBorder="1" applyAlignment="1">
      <alignment horizontal="center" vertical="center"/>
    </xf>
    <xf numFmtId="41" fontId="11" fillId="0" borderId="0" xfId="13" applyNumberFormat="1" applyFont="1" applyAlignment="1">
      <alignment vertical="center"/>
    </xf>
    <xf numFmtId="41" fontId="11" fillId="0" borderId="0" xfId="13" quotePrefix="1" applyNumberFormat="1" applyFont="1" applyAlignment="1">
      <alignment horizontal="right" vertical="center"/>
    </xf>
    <xf numFmtId="41" fontId="11" fillId="0" borderId="0" xfId="13" applyNumberFormat="1" applyFont="1" applyAlignment="1">
      <alignment horizontal="right" vertical="center"/>
    </xf>
    <xf numFmtId="41" fontId="11" fillId="0" borderId="1" xfId="13" applyNumberFormat="1" applyFont="1" applyBorder="1" applyAlignment="1">
      <alignment vertical="center"/>
    </xf>
    <xf numFmtId="41" fontId="11" fillId="0" borderId="1" xfId="13" applyNumberFormat="1" applyFont="1" applyBorder="1" applyAlignment="1">
      <alignment horizontal="right" vertical="center"/>
    </xf>
    <xf numFmtId="41" fontId="19" fillId="0" borderId="0" xfId="13" applyNumberFormat="1" applyFont="1" applyAlignment="1">
      <alignment vertical="center"/>
    </xf>
    <xf numFmtId="41" fontId="19" fillId="0" borderId="1" xfId="13" applyNumberFormat="1" applyFont="1" applyBorder="1" applyAlignment="1">
      <alignment horizontal="center" vertical="center"/>
    </xf>
    <xf numFmtId="41" fontId="19" fillId="0" borderId="0" xfId="13" applyNumberFormat="1" applyFont="1" applyAlignment="1">
      <alignment horizontal="center" vertical="center"/>
    </xf>
    <xf numFmtId="41" fontId="11" fillId="0" borderId="0" xfId="13" applyNumberFormat="1" applyFont="1" applyAlignment="1">
      <alignment horizontal="center" vertical="center"/>
    </xf>
    <xf numFmtId="41" fontId="11" fillId="0" borderId="2" xfId="13" applyNumberFormat="1" applyFont="1" applyBorder="1" applyAlignment="1">
      <alignment vertical="center"/>
    </xf>
    <xf numFmtId="0" fontId="21" fillId="0" borderId="0" xfId="13" applyFont="1" applyAlignment="1">
      <alignment horizontal="center" vertical="center"/>
    </xf>
    <xf numFmtId="41" fontId="11" fillId="0" borderId="3" xfId="13" applyNumberFormat="1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3" fontId="3" fillId="0" borderId="0" xfId="1" applyFont="1" applyFill="1" applyBorder="1" applyAlignment="1">
      <alignment vertical="center"/>
    </xf>
    <xf numFmtId="41" fontId="25" fillId="0" borderId="1" xfId="0" applyNumberFormat="1" applyFont="1" applyBorder="1" applyAlignment="1">
      <alignment horizontal="right" vertical="center"/>
    </xf>
    <xf numFmtId="41" fontId="25" fillId="0" borderId="1" xfId="0" applyNumberFormat="1" applyFont="1" applyBorder="1" applyAlignment="1">
      <alignment vertical="center"/>
    </xf>
    <xf numFmtId="41" fontId="25" fillId="0" borderId="0" xfId="0" applyNumberFormat="1" applyFont="1" applyAlignment="1">
      <alignment vertical="center"/>
    </xf>
    <xf numFmtId="43" fontId="11" fillId="0" borderId="5" xfId="1" applyFont="1" applyFill="1" applyBorder="1" applyAlignment="1">
      <alignment vertical="center"/>
    </xf>
    <xf numFmtId="0" fontId="26" fillId="0" borderId="0" xfId="0" applyFont="1" applyAlignment="1">
      <alignment vertical="center"/>
    </xf>
    <xf numFmtId="37" fontId="26" fillId="0" borderId="0" xfId="0" applyNumberFormat="1" applyFont="1" applyAlignment="1">
      <alignment vertical="center"/>
    </xf>
    <xf numFmtId="43" fontId="26" fillId="0" borderId="0" xfId="1" applyFont="1" applyFill="1" applyAlignment="1">
      <alignment vertical="center"/>
    </xf>
    <xf numFmtId="0" fontId="0" fillId="0" borderId="0" xfId="0" applyAlignment="1">
      <alignment horizontal="center" vertical="center"/>
    </xf>
    <xf numFmtId="37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7" fontId="0" fillId="0" borderId="0" xfId="0" applyNumberFormat="1" applyAlignment="1">
      <alignment horizontal="right" vertical="center"/>
    </xf>
    <xf numFmtId="43" fontId="0" fillId="0" borderId="0" xfId="1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37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3" fontId="26" fillId="0" borderId="0" xfId="1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43" fontId="0" fillId="0" borderId="0" xfId="1" applyFont="1" applyFill="1" applyAlignment="1">
      <alignment vertical="center"/>
    </xf>
    <xf numFmtId="0" fontId="0" fillId="0" borderId="0" xfId="0" applyAlignment="1">
      <alignment horizontal="left" vertical="center"/>
    </xf>
    <xf numFmtId="164" fontId="0" fillId="0" borderId="0" xfId="1" applyNumberFormat="1" applyFont="1" applyFill="1" applyAlignment="1">
      <alignment vertical="center"/>
    </xf>
    <xf numFmtId="41" fontId="0" fillId="0" borderId="0" xfId="0" applyNumberFormat="1" applyAlignment="1">
      <alignment vertical="center"/>
    </xf>
    <xf numFmtId="164" fontId="0" fillId="0" borderId="1" xfId="1" applyNumberFormat="1" applyFont="1" applyFill="1" applyBorder="1" applyAlignment="1">
      <alignment vertical="center"/>
    </xf>
    <xf numFmtId="164" fontId="0" fillId="0" borderId="2" xfId="1" applyNumberFormat="1" applyFont="1" applyFill="1" applyBorder="1" applyAlignment="1">
      <alignment vertical="center"/>
    </xf>
    <xf numFmtId="41" fontId="0" fillId="0" borderId="0" xfId="0" applyNumberFormat="1" applyAlignment="1">
      <alignment horizontal="right" vertical="center"/>
    </xf>
    <xf numFmtId="43" fontId="0" fillId="0" borderId="0" xfId="1" applyFont="1" applyFill="1" applyBorder="1" applyAlignment="1">
      <alignment vertical="center"/>
    </xf>
    <xf numFmtId="164" fontId="0" fillId="0" borderId="0" xfId="1" applyNumberFormat="1" applyFont="1" applyFill="1" applyBorder="1" applyAlignment="1">
      <alignment horizontal="right" vertical="center"/>
    </xf>
    <xf numFmtId="164" fontId="0" fillId="0" borderId="5" xfId="1" applyNumberFormat="1" applyFont="1" applyFill="1" applyBorder="1" applyAlignment="1">
      <alignment vertical="center"/>
    </xf>
    <xf numFmtId="164" fontId="0" fillId="0" borderId="0" xfId="1" applyNumberFormat="1" applyFont="1" applyFill="1" applyBorder="1" applyAlignment="1">
      <alignment vertical="center"/>
    </xf>
    <xf numFmtId="164" fontId="0" fillId="0" borderId="3" xfId="1" applyNumberFormat="1" applyFont="1" applyFill="1" applyBorder="1" applyAlignment="1">
      <alignment vertical="center"/>
    </xf>
    <xf numFmtId="41" fontId="0" fillId="0" borderId="3" xfId="0" applyNumberFormat="1" applyBorder="1" applyAlignment="1">
      <alignment vertical="center"/>
    </xf>
    <xf numFmtId="43" fontId="0" fillId="0" borderId="3" xfId="1" applyFont="1" applyFill="1" applyBorder="1" applyAlignment="1">
      <alignment vertical="center"/>
    </xf>
    <xf numFmtId="0" fontId="28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7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41" fontId="0" fillId="0" borderId="1" xfId="0" applyNumberFormat="1" applyBorder="1" applyAlignment="1">
      <alignment horizontal="right" vertical="center"/>
    </xf>
    <xf numFmtId="41" fontId="0" fillId="0" borderId="1" xfId="0" applyNumberFormat="1" applyBorder="1" applyAlignment="1">
      <alignment vertical="center"/>
    </xf>
    <xf numFmtId="43" fontId="0" fillId="0" borderId="0" xfId="0" applyNumberFormat="1" applyAlignment="1">
      <alignment vertical="center"/>
    </xf>
    <xf numFmtId="41" fontId="0" fillId="0" borderId="2" xfId="0" applyNumberFormat="1" applyBorder="1" applyAlignment="1">
      <alignment vertical="center"/>
    </xf>
    <xf numFmtId="39" fontId="0" fillId="0" borderId="0" xfId="0" applyNumberFormat="1" applyAlignment="1">
      <alignment vertical="center"/>
    </xf>
    <xf numFmtId="41" fontId="11" fillId="0" borderId="0" xfId="13" applyNumberFormat="1" applyFont="1" applyFill="1" applyAlignment="1">
      <alignment vertical="center"/>
    </xf>
    <xf numFmtId="41" fontId="0" fillId="0" borderId="0" xfId="0" applyNumberFormat="1" applyFill="1" applyAlignment="1">
      <alignment vertical="center"/>
    </xf>
    <xf numFmtId="0" fontId="5" fillId="0" borderId="0" xfId="6" applyFont="1" applyFill="1" applyAlignment="1">
      <alignment vertical="center"/>
    </xf>
    <xf numFmtId="41" fontId="6" fillId="0" borderId="0" xfId="6" applyNumberFormat="1" applyFont="1" applyFill="1" applyAlignment="1">
      <alignment horizontal="right" vertical="center"/>
    </xf>
    <xf numFmtId="0" fontId="6" fillId="0" borderId="0" xfId="6" applyFont="1" applyFill="1" applyAlignment="1">
      <alignment vertical="center"/>
    </xf>
    <xf numFmtId="37" fontId="6" fillId="0" borderId="0" xfId="6" applyNumberFormat="1" applyFont="1" applyFill="1" applyAlignment="1">
      <alignment horizontal="right" vertical="center"/>
    </xf>
    <xf numFmtId="0" fontId="6" fillId="0" borderId="0" xfId="6" applyFont="1" applyFill="1" applyAlignment="1">
      <alignment horizontal="center" vertical="center"/>
    </xf>
    <xf numFmtId="0" fontId="6" fillId="0" borderId="0" xfId="12" applyFont="1" applyFill="1" applyAlignment="1">
      <alignment horizontal="center" vertical="center"/>
    </xf>
    <xf numFmtId="0" fontId="6" fillId="0" borderId="1" xfId="6" applyFont="1" applyFill="1" applyBorder="1" applyAlignment="1">
      <alignment horizontal="center" vertical="center"/>
    </xf>
    <xf numFmtId="0" fontId="7" fillId="0" borderId="0" xfId="6" applyFont="1" applyFill="1" applyAlignment="1">
      <alignment horizontal="center" vertical="center"/>
    </xf>
    <xf numFmtId="41" fontId="16" fillId="0" borderId="0" xfId="0" applyNumberFormat="1" applyFont="1" applyFill="1" applyAlignment="1">
      <alignment horizontal="left" vertical="center"/>
    </xf>
    <xf numFmtId="0" fontId="16" fillId="0" borderId="0" xfId="6" applyFont="1" applyFill="1" applyAlignment="1">
      <alignment vertical="center"/>
    </xf>
    <xf numFmtId="41" fontId="16" fillId="0" borderId="0" xfId="0" applyNumberFormat="1" applyFont="1" applyFill="1" applyAlignment="1">
      <alignment horizontal="right" vertical="center"/>
    </xf>
    <xf numFmtId="41" fontId="6" fillId="0" borderId="0" xfId="0" applyNumberFormat="1" applyFont="1" applyFill="1" applyAlignment="1">
      <alignment horizontal="right" vertical="center"/>
    </xf>
    <xf numFmtId="41" fontId="6" fillId="0" borderId="0" xfId="0" applyNumberFormat="1" applyFont="1" applyFill="1" applyAlignment="1">
      <alignment vertical="center"/>
    </xf>
    <xf numFmtId="41" fontId="6" fillId="0" borderId="0" xfId="0" applyNumberFormat="1" applyFont="1" applyFill="1" applyAlignment="1">
      <alignment horizontal="left" vertical="center"/>
    </xf>
    <xf numFmtId="41" fontId="6" fillId="0" borderId="1" xfId="0" applyNumberFormat="1" applyFont="1" applyFill="1" applyBorder="1" applyAlignment="1">
      <alignment horizontal="left" vertical="center"/>
    </xf>
    <xf numFmtId="41" fontId="6" fillId="0" borderId="1" xfId="0" applyNumberFormat="1" applyFont="1" applyFill="1" applyBorder="1" applyAlignment="1">
      <alignment horizontal="right" vertical="center"/>
    </xf>
    <xf numFmtId="41" fontId="6" fillId="0" borderId="0" xfId="6" applyNumberFormat="1" applyFont="1" applyFill="1" applyAlignment="1">
      <alignment vertical="center"/>
    </xf>
    <xf numFmtId="41" fontId="24" fillId="0" borderId="0" xfId="0" applyNumberFormat="1" applyFont="1" applyFill="1" applyAlignment="1">
      <alignment vertical="center"/>
    </xf>
    <xf numFmtId="0" fontId="17" fillId="0" borderId="0" xfId="6" applyFont="1" applyFill="1" applyAlignment="1">
      <alignment horizontal="center" vertical="center"/>
    </xf>
    <xf numFmtId="41" fontId="16" fillId="0" borderId="0" xfId="0" applyNumberFormat="1" applyFont="1" applyFill="1" applyAlignment="1">
      <alignment vertical="center"/>
    </xf>
    <xf numFmtId="41" fontId="6" fillId="0" borderId="5" xfId="0" applyNumberFormat="1" applyFont="1" applyFill="1" applyBorder="1" applyAlignment="1">
      <alignment horizontal="right" vertical="center"/>
    </xf>
    <xf numFmtId="41" fontId="6" fillId="0" borderId="4" xfId="0" applyNumberFormat="1" applyFont="1" applyFill="1" applyBorder="1" applyAlignment="1">
      <alignment vertical="center"/>
    </xf>
    <xf numFmtId="41" fontId="16" fillId="0" borderId="0" xfId="6" applyNumberFormat="1" applyFont="1" applyFill="1" applyAlignment="1">
      <alignment vertical="center"/>
    </xf>
    <xf numFmtId="164" fontId="6" fillId="0" borderId="0" xfId="6" applyNumberFormat="1" applyFont="1" applyFill="1" applyAlignment="1">
      <alignment vertical="center"/>
    </xf>
    <xf numFmtId="167" fontId="19" fillId="0" borderId="0" xfId="13" applyNumberFormat="1" applyFont="1" applyFill="1" applyAlignment="1">
      <alignment vertical="center"/>
    </xf>
    <xf numFmtId="167" fontId="11" fillId="0" borderId="0" xfId="13" applyNumberFormat="1" applyFont="1" applyFill="1" applyAlignment="1">
      <alignment vertical="center"/>
    </xf>
    <xf numFmtId="167" fontId="19" fillId="0" borderId="1" xfId="13" applyNumberFormat="1" applyFont="1" applyFill="1" applyBorder="1" applyAlignment="1">
      <alignment horizontal="center" vertical="center"/>
    </xf>
    <xf numFmtId="0" fontId="11" fillId="0" borderId="2" xfId="13" applyFont="1" applyFill="1" applyBorder="1" applyAlignment="1">
      <alignment horizontal="center" vertical="center"/>
    </xf>
    <xf numFmtId="41" fontId="11" fillId="0" borderId="0" xfId="13" quotePrefix="1" applyNumberFormat="1" applyFont="1" applyFill="1" applyAlignment="1">
      <alignment horizontal="right" vertical="center"/>
    </xf>
    <xf numFmtId="41" fontId="11" fillId="0" borderId="0" xfId="13" applyNumberFormat="1" applyFont="1" applyFill="1" applyAlignment="1">
      <alignment horizontal="right" vertical="center"/>
    </xf>
    <xf numFmtId="41" fontId="11" fillId="0" borderId="1" xfId="13" applyNumberFormat="1" applyFont="1" applyFill="1" applyBorder="1" applyAlignment="1">
      <alignment vertical="center"/>
    </xf>
    <xf numFmtId="41" fontId="11" fillId="0" borderId="1" xfId="13" applyNumberFormat="1" applyFont="1" applyFill="1" applyBorder="1" applyAlignment="1">
      <alignment horizontal="right" vertical="center"/>
    </xf>
    <xf numFmtId="41" fontId="19" fillId="0" borderId="0" xfId="13" applyNumberFormat="1" applyFont="1" applyFill="1" applyAlignment="1">
      <alignment vertical="center"/>
    </xf>
    <xf numFmtId="41" fontId="19" fillId="0" borderId="1" xfId="13" applyNumberFormat="1" applyFont="1" applyFill="1" applyBorder="1" applyAlignment="1">
      <alignment horizontal="center" vertical="center"/>
    </xf>
    <xf numFmtId="41" fontId="11" fillId="0" borderId="2" xfId="13" applyNumberFormat="1" applyFont="1" applyFill="1" applyBorder="1" applyAlignment="1">
      <alignment vertical="center"/>
    </xf>
    <xf numFmtId="41" fontId="11" fillId="0" borderId="3" xfId="13" applyNumberFormat="1" applyFont="1" applyFill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6" fillId="0" borderId="1" xfId="6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/>
    </xf>
    <xf numFmtId="0" fontId="5" fillId="0" borderId="1" xfId="6" applyFont="1" applyFill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2" xfId="6" applyFont="1" applyBorder="1" applyAlignment="1">
      <alignment horizontal="center" vertical="center"/>
    </xf>
  </cellXfs>
  <cellStyles count="18">
    <cellStyle name="Comma" xfId="1" builtinId="3"/>
    <cellStyle name="Comma 18" xfId="17" xr:uid="{65DFB5AE-751E-44A7-97C0-8D1656D0F396}"/>
    <cellStyle name="Comma 2" xfId="2" xr:uid="{00000000-0005-0000-0000-000001000000}"/>
    <cellStyle name="Comma 3" xfId="16" xr:uid="{18F91524-5695-43C3-B6B2-2C885C0E71D1}"/>
    <cellStyle name="Custom" xfId="3" xr:uid="{00000000-0005-0000-0000-000002000000}"/>
    <cellStyle name="Euro" xfId="4" xr:uid="{00000000-0005-0000-0000-000003000000}"/>
    <cellStyle name="no dec" xfId="5" xr:uid="{00000000-0005-0000-0000-000004000000}"/>
    <cellStyle name="Normal" xfId="0" builtinId="0"/>
    <cellStyle name="Normal 2" xfId="6" xr:uid="{00000000-0005-0000-0000-000006000000}"/>
    <cellStyle name="Normal 2 2" xfId="13" xr:uid="{00000000-0005-0000-0000-000007000000}"/>
    <cellStyle name="Normal 3" xfId="11" xr:uid="{00000000-0005-0000-0000-000008000000}"/>
    <cellStyle name="Normal 4" xfId="15" xr:uid="{31D1CD16-1A23-4463-B94A-D47AE2B837EB}"/>
    <cellStyle name="Normal 4 2" xfId="14" xr:uid="{00000000-0005-0000-0000-000009000000}"/>
    <cellStyle name="Normal_Xl0000021" xfId="12" xr:uid="{00000000-0005-0000-0000-00000A000000}"/>
    <cellStyle name="Percent" xfId="7" builtinId="5"/>
    <cellStyle name="pwstyle" xfId="8" xr:uid="{00000000-0005-0000-0000-00000C000000}"/>
    <cellStyle name="เชื่อมโยงหลายมิติ" xfId="9" xr:uid="{00000000-0005-0000-0000-00000D000000}"/>
    <cellStyle name="ตามการเชื่อมโยงหลายมิติ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FA_NEW_"/>
      <sheetName val="BS (source)"/>
      <sheetName val="Casual2003"/>
      <sheetName val="Cover"/>
      <sheetName val="C1-working"/>
      <sheetName val="InvoiceList"/>
      <sheetName val="Y-T-D 2003"/>
      <sheetName val="Parameters"/>
      <sheetName val="DG"/>
      <sheetName val="inven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  <sheetName val="Attache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  <sheetName val="P&amp;L"/>
      <sheetName val="1602-97"/>
      <sheetName val="LBT0812"/>
      <sheetName val="F1771-V"/>
      <sheetName val="P&amp;L-AM"/>
      <sheetName val="PL-CM"/>
      <sheetName val="P&amp;L-CM-LY"/>
      <sheetName val="P&amp;L-LM"/>
      <sheetName val="Control_Sheet"/>
      <sheetName val="A12-invsub"/>
      <sheetName val="P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  <sheetName val="BudgetInput"/>
      <sheetName val="Forecast"/>
      <sheetName val="TH00_12080000"/>
      <sheetName val="base"/>
      <sheetName val="FY05 DEV - RATE INFORMATION"/>
      <sheetName val="Sheet1"/>
      <sheetName val="Debtors_reco_with_GL3"/>
      <sheetName val="1030002_A3"/>
      <sheetName val="1030004_A3"/>
      <sheetName val="1030006_A3"/>
      <sheetName val="Elim_Seg_LM3"/>
      <sheetName val="Elim_Seg_BM3"/>
      <sheetName val="Elim_Seg_AM3"/>
      <sheetName val="Loan_Data3"/>
      <sheetName val="Customize_Your_Loan_Manager3"/>
      <sheetName val="Loan_Amortization_Table3"/>
      <sheetName val="Setup_20093"/>
      <sheetName val="4-Sales Commission"/>
      <sheetName val="CMA"/>
      <sheetName val="covere"/>
      <sheetName val="Valuation No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98"/>
  <sheetViews>
    <sheetView showGridLines="0" view="pageBreakPreview" topLeftCell="A28" zoomScale="160" zoomScaleNormal="106" zoomScaleSheetLayoutView="160" workbookViewId="0">
      <selection activeCell="H9" sqref="H9"/>
    </sheetView>
  </sheetViews>
  <sheetFormatPr defaultColWidth="9.28515625" defaultRowHeight="21.75" customHeight="1"/>
  <cols>
    <col min="1" max="1" width="44.5703125" style="20" customWidth="1"/>
    <col min="2" max="2" width="6.28515625" style="20" customWidth="1"/>
    <col min="3" max="3" width="1.28515625" style="20" customWidth="1"/>
    <col min="4" max="4" width="15.7109375" style="20" customWidth="1"/>
    <col min="5" max="5" width="1.28515625" style="20" customWidth="1"/>
    <col min="6" max="6" width="15.7109375" style="19" customWidth="1"/>
    <col min="7" max="7" width="1.28515625" style="20" customWidth="1"/>
    <col min="8" max="8" width="15.7109375" style="20" customWidth="1"/>
    <col min="9" max="9" width="1.28515625" style="20" customWidth="1"/>
    <col min="10" max="10" width="15.7109375" style="19" customWidth="1"/>
    <col min="11" max="11" width="0.42578125" style="20" customWidth="1"/>
    <col min="12" max="12" width="14.7109375" style="20" bestFit="1" customWidth="1"/>
    <col min="13" max="13" width="15.5703125" style="20" bestFit="1" customWidth="1"/>
    <col min="14" max="14" width="12.42578125" style="20" customWidth="1"/>
    <col min="15" max="16384" width="9.28515625" style="20"/>
  </cols>
  <sheetData>
    <row r="1" spans="1:13" s="16" customFormat="1" ht="21.75" customHeight="1">
      <c r="A1" s="16" t="s">
        <v>0</v>
      </c>
      <c r="F1" s="17"/>
      <c r="J1" s="17"/>
    </row>
    <row r="2" spans="1:13" s="16" customFormat="1" ht="21.75" customHeight="1">
      <c r="A2" s="16" t="s">
        <v>96</v>
      </c>
      <c r="F2" s="17"/>
      <c r="J2" s="17"/>
    </row>
    <row r="3" spans="1:13" s="16" customFormat="1" ht="21.75" customHeight="1">
      <c r="A3" s="16" t="s">
        <v>249</v>
      </c>
      <c r="F3" s="17"/>
      <c r="J3" s="17"/>
    </row>
    <row r="4" spans="1:13" ht="21.75" customHeight="1">
      <c r="J4" s="21" t="s">
        <v>1</v>
      </c>
    </row>
    <row r="5" spans="1:13" s="22" customFormat="1" ht="21.75" customHeight="1">
      <c r="A5" s="25"/>
      <c r="D5" s="182" t="s">
        <v>2</v>
      </c>
      <c r="E5" s="182"/>
      <c r="F5" s="182"/>
      <c r="G5" s="18"/>
      <c r="H5" s="182" t="s">
        <v>3</v>
      </c>
      <c r="I5" s="182"/>
      <c r="J5" s="182"/>
      <c r="K5" s="182"/>
    </row>
    <row r="6" spans="1:13" s="18" customFormat="1" ht="21.75" customHeight="1">
      <c r="B6" s="66" t="s">
        <v>4</v>
      </c>
      <c r="D6" s="67" t="s">
        <v>250</v>
      </c>
      <c r="F6" s="67" t="s">
        <v>215</v>
      </c>
      <c r="H6" s="67" t="s">
        <v>250</v>
      </c>
      <c r="J6" s="67" t="s">
        <v>215</v>
      </c>
    </row>
    <row r="7" spans="1:13" s="18" customFormat="1" ht="21.75" customHeight="1">
      <c r="A7" s="16" t="s">
        <v>5</v>
      </c>
      <c r="F7" s="37"/>
      <c r="J7" s="37"/>
    </row>
    <row r="8" spans="1:13" ht="21.75" customHeight="1">
      <c r="A8" s="16" t="s">
        <v>6</v>
      </c>
    </row>
    <row r="9" spans="1:13" ht="21.75" customHeight="1">
      <c r="A9" s="20" t="s">
        <v>7</v>
      </c>
      <c r="B9" s="26">
        <v>6</v>
      </c>
      <c r="D9" s="38">
        <v>1453363415</v>
      </c>
      <c r="E9" s="28"/>
      <c r="F9" s="38">
        <v>1178455101</v>
      </c>
      <c r="G9" s="28"/>
      <c r="H9" s="38">
        <v>419478252</v>
      </c>
      <c r="I9" s="28"/>
      <c r="J9" s="38">
        <v>45351036</v>
      </c>
      <c r="K9" s="28"/>
      <c r="L9" s="28"/>
      <c r="M9" s="28"/>
    </row>
    <row r="10" spans="1:13" ht="21.75" customHeight="1">
      <c r="A10" s="20" t="s">
        <v>62</v>
      </c>
      <c r="B10" s="26">
        <v>7</v>
      </c>
      <c r="D10" s="38">
        <v>1004807523</v>
      </c>
      <c r="E10" s="28"/>
      <c r="F10" s="38">
        <v>901674139</v>
      </c>
      <c r="G10" s="28"/>
      <c r="H10" s="38">
        <v>163339756</v>
      </c>
      <c r="I10" s="28"/>
      <c r="J10" s="38">
        <v>281071385</v>
      </c>
      <c r="K10" s="28"/>
      <c r="L10" s="28"/>
      <c r="M10" s="28"/>
    </row>
    <row r="11" spans="1:13" ht="21.75" customHeight="1">
      <c r="A11" s="20" t="s">
        <v>63</v>
      </c>
      <c r="B11" s="26">
        <v>9</v>
      </c>
      <c r="D11" s="38">
        <v>160081492</v>
      </c>
      <c r="E11" s="28"/>
      <c r="F11" s="38">
        <v>69883601</v>
      </c>
      <c r="G11" s="28"/>
      <c r="H11" s="38">
        <v>0</v>
      </c>
      <c r="I11" s="28"/>
      <c r="J11" s="38">
        <v>0</v>
      </c>
      <c r="K11" s="28"/>
      <c r="L11" s="28"/>
      <c r="M11" s="28"/>
    </row>
    <row r="12" spans="1:13" ht="21.75" customHeight="1">
      <c r="A12" s="20" t="s">
        <v>64</v>
      </c>
      <c r="B12" s="26">
        <v>10</v>
      </c>
      <c r="D12" s="38">
        <v>3536578590</v>
      </c>
      <c r="E12" s="28"/>
      <c r="F12" s="38">
        <v>3657996712</v>
      </c>
      <c r="G12" s="28"/>
      <c r="H12" s="38">
        <v>111429000</v>
      </c>
      <c r="I12" s="28"/>
      <c r="J12" s="38">
        <v>111429000</v>
      </c>
      <c r="K12" s="51"/>
      <c r="L12" s="28"/>
      <c r="M12" s="28"/>
    </row>
    <row r="13" spans="1:13" ht="21.75" customHeight="1">
      <c r="A13" s="20" t="s">
        <v>118</v>
      </c>
      <c r="B13" s="26">
        <v>11</v>
      </c>
      <c r="D13" s="38">
        <v>318326691</v>
      </c>
      <c r="E13" s="28"/>
      <c r="F13" s="38">
        <v>185667433</v>
      </c>
      <c r="G13" s="28"/>
      <c r="H13" s="38">
        <v>0</v>
      </c>
      <c r="I13" s="28"/>
      <c r="J13" s="38">
        <v>0</v>
      </c>
      <c r="K13" s="51"/>
      <c r="L13" s="28"/>
      <c r="M13" s="28"/>
    </row>
    <row r="14" spans="1:13" ht="21.75" customHeight="1">
      <c r="A14" s="20" t="s">
        <v>224</v>
      </c>
      <c r="B14" s="26">
        <v>12</v>
      </c>
      <c r="D14" s="38">
        <v>16767997</v>
      </c>
      <c r="E14" s="28"/>
      <c r="F14" s="38">
        <v>16685254</v>
      </c>
      <c r="G14" s="28"/>
      <c r="H14" s="38">
        <v>2385698</v>
      </c>
      <c r="I14" s="28"/>
      <c r="J14" s="38">
        <v>2373947</v>
      </c>
      <c r="K14" s="28"/>
      <c r="L14" s="28"/>
      <c r="M14" s="28"/>
    </row>
    <row r="15" spans="1:13" ht="21.75" customHeight="1">
      <c r="A15" s="20" t="s">
        <v>8</v>
      </c>
      <c r="B15" s="26">
        <v>13</v>
      </c>
      <c r="D15" s="38">
        <v>377613848</v>
      </c>
      <c r="E15" s="28"/>
      <c r="F15" s="38">
        <f>158961690</f>
        <v>158961690</v>
      </c>
      <c r="G15" s="28"/>
      <c r="H15" s="38">
        <v>20652249</v>
      </c>
      <c r="I15" s="28"/>
      <c r="J15" s="38">
        <v>10511337</v>
      </c>
      <c r="K15" s="28"/>
      <c r="L15" s="28"/>
      <c r="M15" s="28"/>
    </row>
    <row r="16" spans="1:13" ht="21.75" customHeight="1">
      <c r="A16" s="16" t="s">
        <v>9</v>
      </c>
      <c r="B16" s="26"/>
      <c r="D16" s="52">
        <f>SUM(D9:D15)</f>
        <v>6867539556</v>
      </c>
      <c r="E16" s="28"/>
      <c r="F16" s="52">
        <f>SUM(F9:F15)</f>
        <v>6169323930</v>
      </c>
      <c r="G16" s="28"/>
      <c r="H16" s="52">
        <f>SUM(H9:H15)</f>
        <v>717284955</v>
      </c>
      <c r="I16" s="28"/>
      <c r="J16" s="52">
        <f>SUM(J9:J15)</f>
        <v>450736705</v>
      </c>
      <c r="K16" s="28"/>
    </row>
    <row r="17" spans="1:13" ht="21.75" customHeight="1">
      <c r="A17" s="16" t="s">
        <v>10</v>
      </c>
      <c r="B17" s="26"/>
      <c r="D17" s="38"/>
      <c r="E17" s="28"/>
      <c r="F17" s="38"/>
      <c r="G17" s="28"/>
      <c r="H17" s="38"/>
      <c r="I17" s="28"/>
      <c r="J17" s="38"/>
    </row>
    <row r="18" spans="1:13" ht="21.75" customHeight="1">
      <c r="A18" s="20" t="s">
        <v>124</v>
      </c>
      <c r="B18" s="26">
        <v>12</v>
      </c>
      <c r="D18" s="38">
        <v>867136662</v>
      </c>
      <c r="E18" s="28"/>
      <c r="F18" s="38">
        <v>865168194</v>
      </c>
      <c r="G18" s="28"/>
      <c r="H18" s="38">
        <v>0</v>
      </c>
      <c r="I18" s="28"/>
      <c r="J18" s="38">
        <v>0</v>
      </c>
      <c r="L18" s="28"/>
      <c r="M18" s="28"/>
    </row>
    <row r="19" spans="1:13" ht="21.75" customHeight="1">
      <c r="A19" s="20" t="s">
        <v>11</v>
      </c>
      <c r="B19" s="26">
        <v>14</v>
      </c>
      <c r="D19" s="38">
        <v>499313266</v>
      </c>
      <c r="E19" s="28"/>
      <c r="F19" s="38">
        <v>420722133</v>
      </c>
      <c r="G19" s="28"/>
      <c r="H19" s="38">
        <v>0</v>
      </c>
      <c r="I19" s="28"/>
      <c r="J19" s="38">
        <v>0</v>
      </c>
      <c r="K19" s="18"/>
      <c r="L19" s="28"/>
      <c r="M19" s="28"/>
    </row>
    <row r="20" spans="1:13" ht="21.75" customHeight="1">
      <c r="A20" s="20" t="s">
        <v>12</v>
      </c>
      <c r="B20" s="26">
        <v>15</v>
      </c>
      <c r="D20" s="38">
        <v>0</v>
      </c>
      <c r="E20" s="28"/>
      <c r="F20" s="38">
        <v>0</v>
      </c>
      <c r="G20" s="28"/>
      <c r="H20" s="38">
        <v>4242655372</v>
      </c>
      <c r="I20" s="28"/>
      <c r="J20" s="38">
        <v>4242655372</v>
      </c>
      <c r="K20" s="18"/>
      <c r="L20" s="28"/>
      <c r="M20" s="28"/>
    </row>
    <row r="21" spans="1:13" ht="21.75" customHeight="1">
      <c r="A21" s="20" t="s">
        <v>65</v>
      </c>
      <c r="B21" s="26">
        <v>16</v>
      </c>
      <c r="D21" s="38">
        <v>1076642845</v>
      </c>
      <c r="E21" s="28"/>
      <c r="F21" s="38">
        <v>991141335</v>
      </c>
      <c r="G21" s="28"/>
      <c r="H21" s="38">
        <v>777454049</v>
      </c>
      <c r="I21" s="28"/>
      <c r="J21" s="38">
        <v>777454049</v>
      </c>
      <c r="K21" s="18"/>
      <c r="L21" s="28"/>
      <c r="M21" s="28"/>
    </row>
    <row r="22" spans="1:13" ht="21.75" customHeight="1">
      <c r="A22" s="20" t="s">
        <v>13</v>
      </c>
      <c r="B22" s="26">
        <v>8</v>
      </c>
      <c r="D22" s="38">
        <v>0</v>
      </c>
      <c r="E22" s="28"/>
      <c r="F22" s="38">
        <v>0</v>
      </c>
      <c r="G22" s="28"/>
      <c r="H22" s="38">
        <v>1335000000</v>
      </c>
      <c r="I22" s="28"/>
      <c r="J22" s="38">
        <v>1467550000</v>
      </c>
      <c r="L22" s="28"/>
      <c r="M22" s="28"/>
    </row>
    <row r="23" spans="1:13" ht="21.75" customHeight="1">
      <c r="A23" s="20" t="s">
        <v>67</v>
      </c>
      <c r="B23" s="26">
        <v>17</v>
      </c>
      <c r="D23" s="38">
        <v>1624202480</v>
      </c>
      <c r="E23" s="28"/>
      <c r="F23" s="38">
        <v>1416981060</v>
      </c>
      <c r="G23" s="28"/>
      <c r="H23" s="38">
        <v>226595300</v>
      </c>
      <c r="I23" s="28"/>
      <c r="J23" s="38">
        <v>194498210</v>
      </c>
      <c r="K23" s="53"/>
      <c r="L23" s="28"/>
      <c r="M23" s="28"/>
    </row>
    <row r="24" spans="1:13" ht="21.75" customHeight="1">
      <c r="A24" s="20" t="s">
        <v>66</v>
      </c>
      <c r="B24" s="26">
        <v>18</v>
      </c>
      <c r="D24" s="38">
        <v>18596447093</v>
      </c>
      <c r="E24" s="28"/>
      <c r="F24" s="38">
        <v>12250505682</v>
      </c>
      <c r="G24" s="28"/>
      <c r="H24" s="38">
        <v>31743953</v>
      </c>
      <c r="I24" s="28"/>
      <c r="J24" s="38">
        <v>33224265</v>
      </c>
      <c r="L24" s="28"/>
      <c r="M24" s="28"/>
    </row>
    <row r="25" spans="1:13" ht="21.75" customHeight="1">
      <c r="A25" s="20" t="s">
        <v>125</v>
      </c>
      <c r="B25" s="26">
        <v>19</v>
      </c>
      <c r="D25" s="38">
        <v>34275261</v>
      </c>
      <c r="E25" s="28"/>
      <c r="F25" s="38">
        <f>41976958+2703258</f>
        <v>44680216</v>
      </c>
      <c r="G25" s="28"/>
      <c r="H25" s="38">
        <v>12029460</v>
      </c>
      <c r="I25" s="28"/>
      <c r="J25" s="38">
        <v>4024903</v>
      </c>
      <c r="L25" s="28"/>
      <c r="M25" s="28"/>
    </row>
    <row r="26" spans="1:13" ht="21.75" customHeight="1">
      <c r="A26" s="20" t="s">
        <v>105</v>
      </c>
      <c r="B26" s="26">
        <v>32</v>
      </c>
      <c r="D26" s="38">
        <v>16478494</v>
      </c>
      <c r="E26" s="28"/>
      <c r="F26" s="38">
        <v>69284925</v>
      </c>
      <c r="G26" s="28"/>
      <c r="H26" s="38">
        <v>0</v>
      </c>
      <c r="I26" s="28"/>
      <c r="J26" s="38">
        <v>0</v>
      </c>
      <c r="L26" s="28"/>
      <c r="M26" s="28"/>
    </row>
    <row r="27" spans="1:13" ht="21.75" customHeight="1">
      <c r="A27" s="20" t="s">
        <v>14</v>
      </c>
      <c r="B27" s="26">
        <v>15</v>
      </c>
      <c r="D27" s="38">
        <v>407903881</v>
      </c>
      <c r="E27" s="28"/>
      <c r="F27" s="38">
        <v>407903881</v>
      </c>
      <c r="G27" s="28"/>
      <c r="H27" s="38">
        <v>0</v>
      </c>
      <c r="I27" s="28"/>
      <c r="J27" s="38">
        <v>0</v>
      </c>
      <c r="K27" s="54"/>
      <c r="L27" s="28"/>
      <c r="M27" s="28"/>
    </row>
    <row r="28" spans="1:13" ht="21.75" customHeight="1">
      <c r="A28" s="20" t="s">
        <v>15</v>
      </c>
      <c r="B28" s="26"/>
      <c r="D28" s="55">
        <v>60637403</v>
      </c>
      <c r="E28" s="28"/>
      <c r="F28" s="55">
        <v>47601188</v>
      </c>
      <c r="G28" s="28"/>
      <c r="H28" s="55">
        <v>15064950</v>
      </c>
      <c r="I28" s="28"/>
      <c r="J28" s="55">
        <v>10879792</v>
      </c>
      <c r="L28" s="28"/>
      <c r="M28" s="28"/>
    </row>
    <row r="29" spans="1:13" ht="21.75" customHeight="1">
      <c r="A29" s="16" t="s">
        <v>16</v>
      </c>
      <c r="B29" s="26"/>
      <c r="D29" s="55">
        <f>SUM(D18:D28)</f>
        <v>23183037385</v>
      </c>
      <c r="E29" s="28"/>
      <c r="F29" s="55">
        <f>SUM(F18:F28)</f>
        <v>16513988614</v>
      </c>
      <c r="G29" s="28"/>
      <c r="H29" s="55">
        <f>SUM(H18:H28)</f>
        <v>6640543084</v>
      </c>
      <c r="I29" s="28"/>
      <c r="J29" s="55">
        <f>SUM(J18:J28)</f>
        <v>6730286591</v>
      </c>
      <c r="K29" s="56"/>
    </row>
    <row r="30" spans="1:13" ht="21.75" customHeight="1" thickBot="1">
      <c r="A30" s="16" t="s">
        <v>17</v>
      </c>
      <c r="B30" s="18"/>
      <c r="D30" s="57">
        <f>D16+D29</f>
        <v>30050576941</v>
      </c>
      <c r="E30" s="28"/>
      <c r="F30" s="57">
        <f>F16+F29</f>
        <v>22683312544</v>
      </c>
      <c r="G30" s="28"/>
      <c r="H30" s="57">
        <f>H16+H29</f>
        <v>7357828039</v>
      </c>
      <c r="I30" s="28"/>
      <c r="J30" s="57">
        <f>J16+J29</f>
        <v>7181023296</v>
      </c>
    </row>
    <row r="31" spans="1:13" ht="21.75" customHeight="1" thickTop="1">
      <c r="D31" s="38"/>
      <c r="H31" s="38"/>
    </row>
    <row r="33" spans="1:13" ht="21.75" customHeight="1">
      <c r="A33" s="20" t="s">
        <v>18</v>
      </c>
    </row>
    <row r="34" spans="1:13" s="16" customFormat="1" ht="21.75" customHeight="1">
      <c r="A34" s="16" t="s">
        <v>0</v>
      </c>
      <c r="F34" s="17"/>
      <c r="J34" s="17"/>
    </row>
    <row r="35" spans="1:13" s="16" customFormat="1" ht="21.75" customHeight="1">
      <c r="A35" s="16" t="s">
        <v>97</v>
      </c>
      <c r="F35" s="17"/>
      <c r="J35" s="17"/>
    </row>
    <row r="36" spans="1:13" s="16" customFormat="1" ht="21.75" customHeight="1">
      <c r="A36" s="16" t="s">
        <v>249</v>
      </c>
      <c r="F36" s="17"/>
      <c r="J36" s="17"/>
    </row>
    <row r="37" spans="1:13" ht="21.75" customHeight="1">
      <c r="J37" s="21" t="s">
        <v>1</v>
      </c>
    </row>
    <row r="38" spans="1:13" s="22" customFormat="1" ht="21.75" customHeight="1">
      <c r="A38" s="25"/>
      <c r="D38" s="182" t="s">
        <v>2</v>
      </c>
      <c r="E38" s="182"/>
      <c r="F38" s="182"/>
      <c r="G38" s="18"/>
      <c r="H38" s="182" t="s">
        <v>3</v>
      </c>
      <c r="I38" s="182"/>
      <c r="J38" s="182"/>
      <c r="K38" s="182"/>
    </row>
    <row r="39" spans="1:13" s="18" customFormat="1" ht="21.75" customHeight="1">
      <c r="B39" s="66" t="s">
        <v>4</v>
      </c>
      <c r="D39" s="67" t="str">
        <f>D6</f>
        <v>2023</v>
      </c>
      <c r="F39" s="67" t="str">
        <f>F6</f>
        <v>2022</v>
      </c>
      <c r="H39" s="67" t="str">
        <f>H6</f>
        <v>2023</v>
      </c>
      <c r="J39" s="67" t="str">
        <f>J6</f>
        <v>2022</v>
      </c>
    </row>
    <row r="40" spans="1:13" ht="21.75" customHeight="1">
      <c r="A40" s="16" t="s">
        <v>19</v>
      </c>
    </row>
    <row r="41" spans="1:13" ht="21.75" customHeight="1">
      <c r="A41" s="16" t="s">
        <v>20</v>
      </c>
    </row>
    <row r="42" spans="1:13" ht="21.75" customHeight="1">
      <c r="A42" s="20" t="s">
        <v>271</v>
      </c>
      <c r="B42" s="26">
        <v>20</v>
      </c>
      <c r="D42" s="38">
        <v>610000000</v>
      </c>
      <c r="E42" s="28"/>
      <c r="F42" s="38">
        <v>1080000000</v>
      </c>
      <c r="G42" s="28"/>
      <c r="H42" s="38">
        <v>510000000</v>
      </c>
      <c r="I42" s="28"/>
      <c r="J42" s="38">
        <v>650000000</v>
      </c>
      <c r="K42" s="19"/>
      <c r="L42" s="28"/>
      <c r="M42" s="28"/>
    </row>
    <row r="43" spans="1:13" ht="21.75" customHeight="1">
      <c r="A43" s="20" t="s">
        <v>68</v>
      </c>
      <c r="B43" s="26">
        <v>21</v>
      </c>
      <c r="D43" s="38">
        <v>1512269126</v>
      </c>
      <c r="E43" s="28"/>
      <c r="F43" s="38">
        <v>1321269958</v>
      </c>
      <c r="G43" s="28"/>
      <c r="H43" s="38">
        <v>82909476</v>
      </c>
      <c r="I43" s="28"/>
      <c r="J43" s="38">
        <v>120749729</v>
      </c>
      <c r="K43" s="19"/>
      <c r="L43" s="28"/>
      <c r="M43" s="28"/>
    </row>
    <row r="44" spans="1:13" ht="21.75" customHeight="1">
      <c r="A44" s="20" t="s">
        <v>21</v>
      </c>
      <c r="B44" s="26"/>
      <c r="D44" s="38"/>
      <c r="E44" s="28"/>
      <c r="F44" s="38"/>
      <c r="G44" s="28"/>
      <c r="H44" s="38"/>
      <c r="I44" s="28"/>
      <c r="J44" s="38"/>
      <c r="K44" s="19"/>
      <c r="L44" s="28"/>
      <c r="M44" s="28"/>
    </row>
    <row r="45" spans="1:13" ht="21.75" customHeight="1">
      <c r="A45" s="20" t="s">
        <v>22</v>
      </c>
      <c r="B45" s="26">
        <v>23</v>
      </c>
      <c r="D45" s="38">
        <v>481405918</v>
      </c>
      <c r="E45" s="28"/>
      <c r="F45" s="38">
        <v>296628539</v>
      </c>
      <c r="G45" s="28"/>
      <c r="H45" s="38">
        <v>60000000</v>
      </c>
      <c r="I45" s="28"/>
      <c r="J45" s="38">
        <v>1500000</v>
      </c>
      <c r="K45" s="19"/>
      <c r="L45" s="28"/>
      <c r="M45" s="28"/>
    </row>
    <row r="46" spans="1:13" ht="21.75" customHeight="1">
      <c r="A46" s="20" t="s">
        <v>126</v>
      </c>
      <c r="B46" s="26">
        <v>19</v>
      </c>
      <c r="D46" s="38">
        <v>43261655</v>
      </c>
      <c r="E46" s="28"/>
      <c r="F46" s="38">
        <f>52422428+6894859</f>
        <v>59317287</v>
      </c>
      <c r="G46" s="28"/>
      <c r="H46" s="38">
        <v>5059209</v>
      </c>
      <c r="I46" s="28"/>
      <c r="J46" s="38">
        <v>5390080</v>
      </c>
      <c r="K46" s="28"/>
      <c r="L46" s="28"/>
      <c r="M46" s="28"/>
    </row>
    <row r="47" spans="1:13" ht="21.75" customHeight="1">
      <c r="A47" s="20" t="s">
        <v>103</v>
      </c>
      <c r="B47" s="26"/>
      <c r="D47" s="38">
        <v>51545111</v>
      </c>
      <c r="E47" s="28"/>
      <c r="F47" s="38">
        <v>16471201</v>
      </c>
      <c r="G47" s="28"/>
      <c r="H47" s="28">
        <v>0</v>
      </c>
      <c r="I47" s="28"/>
      <c r="J47" s="28">
        <v>0</v>
      </c>
      <c r="K47" s="19"/>
      <c r="L47" s="28"/>
      <c r="M47" s="28"/>
    </row>
    <row r="48" spans="1:13" ht="21.75" customHeight="1">
      <c r="A48" s="20" t="s">
        <v>94</v>
      </c>
      <c r="B48" s="26"/>
      <c r="D48" s="38">
        <v>2623475720</v>
      </c>
      <c r="E48" s="28"/>
      <c r="F48" s="38">
        <v>1648296851</v>
      </c>
      <c r="G48" s="28"/>
      <c r="H48" s="51">
        <v>0</v>
      </c>
      <c r="I48" s="28"/>
      <c r="J48" s="51">
        <v>0</v>
      </c>
      <c r="K48" s="19"/>
      <c r="L48" s="28"/>
      <c r="M48" s="28"/>
    </row>
    <row r="49" spans="1:13" ht="21.75" customHeight="1">
      <c r="A49" s="20" t="s">
        <v>23</v>
      </c>
      <c r="B49" s="26">
        <v>22</v>
      </c>
      <c r="D49" s="38">
        <v>361402322</v>
      </c>
      <c r="E49" s="28"/>
      <c r="F49" s="38">
        <f>296419135</f>
        <v>296419135</v>
      </c>
      <c r="G49" s="28"/>
      <c r="H49" s="29">
        <v>15652564</v>
      </c>
      <c r="I49" s="28"/>
      <c r="J49" s="29">
        <f>22976047</f>
        <v>22976047</v>
      </c>
      <c r="K49" s="19"/>
      <c r="L49" s="28"/>
      <c r="M49" s="28"/>
    </row>
    <row r="50" spans="1:13" ht="21.75" customHeight="1">
      <c r="A50" s="16" t="s">
        <v>24</v>
      </c>
      <c r="B50" s="26"/>
      <c r="D50" s="35">
        <f>SUM(D42:D49)</f>
        <v>5683359852</v>
      </c>
      <c r="E50" s="28"/>
      <c r="F50" s="35">
        <f>SUM(F42:F49)</f>
        <v>4718402971</v>
      </c>
      <c r="G50" s="28"/>
      <c r="H50" s="35">
        <f>SUM(H42:H49)</f>
        <v>673621249</v>
      </c>
      <c r="I50" s="28"/>
      <c r="J50" s="35">
        <f>SUM(J42:J49)</f>
        <v>800615856</v>
      </c>
      <c r="K50" s="19"/>
    </row>
    <row r="51" spans="1:13" ht="21.75" customHeight="1">
      <c r="A51" s="16" t="s">
        <v>25</v>
      </c>
      <c r="B51" s="26"/>
      <c r="D51" s="28"/>
      <c r="E51" s="28"/>
      <c r="F51" s="28"/>
      <c r="G51" s="28"/>
      <c r="H51" s="28"/>
      <c r="I51" s="28"/>
      <c r="J51" s="28"/>
      <c r="K51" s="19"/>
    </row>
    <row r="52" spans="1:13" ht="21.75" customHeight="1">
      <c r="A52" s="20" t="s">
        <v>108</v>
      </c>
      <c r="B52" s="26">
        <v>8</v>
      </c>
      <c r="D52" s="58">
        <v>0</v>
      </c>
      <c r="E52" s="28"/>
      <c r="F52" s="58">
        <v>0</v>
      </c>
      <c r="G52" s="28"/>
      <c r="H52" s="58">
        <v>755000000</v>
      </c>
      <c r="I52" s="28"/>
      <c r="J52" s="58">
        <v>478500000</v>
      </c>
      <c r="K52" s="19"/>
      <c r="L52" s="28"/>
      <c r="M52" s="28"/>
    </row>
    <row r="53" spans="1:13" ht="21.75" customHeight="1">
      <c r="A53" s="20" t="s">
        <v>123</v>
      </c>
      <c r="B53" s="26">
        <v>8</v>
      </c>
      <c r="D53" s="38">
        <v>0</v>
      </c>
      <c r="E53" s="28"/>
      <c r="F53" s="38">
        <v>6000000</v>
      </c>
      <c r="G53" s="28"/>
      <c r="H53" s="38">
        <v>0</v>
      </c>
      <c r="I53" s="28"/>
      <c r="J53" s="38">
        <v>0</v>
      </c>
      <c r="K53" s="19"/>
      <c r="L53" s="28"/>
      <c r="M53" s="28"/>
    </row>
    <row r="54" spans="1:13" ht="21.75" customHeight="1">
      <c r="A54" s="20" t="s">
        <v>137</v>
      </c>
      <c r="B54" s="26"/>
      <c r="D54" s="59"/>
      <c r="E54" s="28"/>
      <c r="F54" s="59"/>
      <c r="G54" s="28"/>
      <c r="H54" s="59"/>
      <c r="I54" s="28"/>
      <c r="J54" s="59"/>
      <c r="K54" s="37"/>
      <c r="L54" s="28"/>
      <c r="M54" s="28"/>
    </row>
    <row r="55" spans="1:13" ht="21.75" customHeight="1">
      <c r="A55" s="20" t="s">
        <v>138</v>
      </c>
      <c r="B55" s="26">
        <v>23</v>
      </c>
      <c r="D55" s="38">
        <v>4143678169</v>
      </c>
      <c r="E55" s="28"/>
      <c r="F55" s="38">
        <v>4521995500</v>
      </c>
      <c r="G55" s="28"/>
      <c r="H55" s="38">
        <v>1314284134</v>
      </c>
      <c r="I55" s="28"/>
      <c r="J55" s="38">
        <v>1373838131</v>
      </c>
      <c r="K55" s="19"/>
      <c r="L55" s="28"/>
      <c r="M55" s="28"/>
    </row>
    <row r="56" spans="1:13" ht="21.75" customHeight="1">
      <c r="A56" s="20" t="s">
        <v>69</v>
      </c>
      <c r="B56" s="26">
        <v>24</v>
      </c>
      <c r="D56" s="38">
        <v>151892753</v>
      </c>
      <c r="E56" s="28"/>
      <c r="F56" s="38">
        <v>106714420</v>
      </c>
      <c r="G56" s="28"/>
      <c r="H56" s="38">
        <v>37510945</v>
      </c>
      <c r="I56" s="28"/>
      <c r="J56" s="38">
        <v>12436438</v>
      </c>
      <c r="K56" s="19"/>
      <c r="L56" s="28"/>
      <c r="M56" s="28"/>
    </row>
    <row r="57" spans="1:13" ht="21.75" customHeight="1">
      <c r="A57" s="20" t="s">
        <v>106</v>
      </c>
      <c r="B57" s="26">
        <v>32</v>
      </c>
      <c r="D57" s="38">
        <v>4150161482</v>
      </c>
      <c r="E57" s="28"/>
      <c r="F57" s="38">
        <v>2862276097</v>
      </c>
      <c r="G57" s="28"/>
      <c r="H57" s="38">
        <v>113100613</v>
      </c>
      <c r="I57" s="28"/>
      <c r="J57" s="38">
        <v>115549415</v>
      </c>
      <c r="K57" s="19"/>
      <c r="L57" s="28"/>
      <c r="M57" s="28"/>
    </row>
    <row r="58" spans="1:13" ht="21.75" customHeight="1">
      <c r="A58" s="20" t="s">
        <v>127</v>
      </c>
      <c r="B58" s="26">
        <v>19</v>
      </c>
      <c r="D58" s="38">
        <v>18905608</v>
      </c>
      <c r="E58" s="28"/>
      <c r="F58" s="38">
        <f>35162733+130196</f>
        <v>35292929</v>
      </c>
      <c r="G58" s="28"/>
      <c r="H58" s="38">
        <v>4338891</v>
      </c>
      <c r="I58" s="28"/>
      <c r="J58" s="38">
        <v>2265006</v>
      </c>
      <c r="K58" s="19"/>
      <c r="L58" s="28"/>
      <c r="M58" s="28"/>
    </row>
    <row r="59" spans="1:13" ht="21.75" customHeight="1">
      <c r="A59" s="20" t="s">
        <v>26</v>
      </c>
      <c r="B59" s="26"/>
      <c r="D59" s="55">
        <v>674418190</v>
      </c>
      <c r="E59" s="28"/>
      <c r="F59" s="55">
        <v>584152875</v>
      </c>
      <c r="G59" s="28"/>
      <c r="H59" s="55">
        <v>145093477</v>
      </c>
      <c r="I59" s="28"/>
      <c r="J59" s="55">
        <v>113807835</v>
      </c>
      <c r="K59" s="19"/>
      <c r="L59" s="28"/>
      <c r="M59" s="28"/>
    </row>
    <row r="60" spans="1:13" ht="21.75" customHeight="1">
      <c r="A60" s="16" t="s">
        <v>27</v>
      </c>
      <c r="B60" s="26"/>
      <c r="D60" s="29">
        <f>SUM(D52:D59)</f>
        <v>9139056202</v>
      </c>
      <c r="E60" s="28"/>
      <c r="F60" s="29">
        <f>SUM(F52:F59)</f>
        <v>8116431821</v>
      </c>
      <c r="G60" s="28"/>
      <c r="H60" s="29">
        <f>SUM(H52:H59)</f>
        <v>2369328060</v>
      </c>
      <c r="I60" s="28"/>
      <c r="J60" s="29">
        <f>SUM(J52:J59)</f>
        <v>2096396825</v>
      </c>
      <c r="K60" s="19"/>
    </row>
    <row r="61" spans="1:13" ht="21.75" customHeight="1">
      <c r="A61" s="16" t="s">
        <v>28</v>
      </c>
      <c r="B61" s="26"/>
      <c r="D61" s="29">
        <f>D50+D60</f>
        <v>14822416054</v>
      </c>
      <c r="E61" s="28"/>
      <c r="F61" s="29">
        <f>F50+F60</f>
        <v>12834834792</v>
      </c>
      <c r="G61" s="28"/>
      <c r="H61" s="29">
        <f>H50+H60</f>
        <v>3042949309</v>
      </c>
      <c r="I61" s="28"/>
      <c r="J61" s="29">
        <f>J50+J60</f>
        <v>2897012681</v>
      </c>
      <c r="K61" s="19"/>
    </row>
    <row r="64" spans="1:13" ht="21.75" customHeight="1">
      <c r="A64" s="20" t="s">
        <v>18</v>
      </c>
    </row>
    <row r="65" spans="1:13" s="16" customFormat="1" ht="21.75" customHeight="1">
      <c r="A65" s="16" t="s">
        <v>0</v>
      </c>
      <c r="F65" s="17"/>
      <c r="J65" s="17"/>
    </row>
    <row r="66" spans="1:13" s="16" customFormat="1" ht="21.75" customHeight="1">
      <c r="A66" s="16" t="s">
        <v>97</v>
      </c>
      <c r="F66" s="17"/>
      <c r="J66" s="17"/>
    </row>
    <row r="67" spans="1:13" s="16" customFormat="1" ht="21.75" customHeight="1">
      <c r="A67" s="16" t="s">
        <v>249</v>
      </c>
      <c r="F67" s="17"/>
      <c r="J67" s="17"/>
    </row>
    <row r="68" spans="1:13" ht="21.75" customHeight="1">
      <c r="J68" s="21" t="s">
        <v>1</v>
      </c>
    </row>
    <row r="69" spans="1:13" s="22" customFormat="1" ht="21.75" customHeight="1">
      <c r="A69" s="25"/>
      <c r="D69" s="182" t="s">
        <v>2</v>
      </c>
      <c r="E69" s="182"/>
      <c r="F69" s="182"/>
      <c r="G69" s="18"/>
      <c r="H69" s="182" t="s">
        <v>3</v>
      </c>
      <c r="I69" s="182"/>
      <c r="J69" s="182"/>
      <c r="K69" s="182"/>
    </row>
    <row r="70" spans="1:13" s="18" customFormat="1" ht="21.75" customHeight="1">
      <c r="B70" s="66" t="s">
        <v>4</v>
      </c>
      <c r="D70" s="67" t="s">
        <v>250</v>
      </c>
      <c r="F70" s="67" t="s">
        <v>215</v>
      </c>
      <c r="H70" s="67" t="s">
        <v>250</v>
      </c>
      <c r="J70" s="67" t="s">
        <v>215</v>
      </c>
    </row>
    <row r="71" spans="1:13" ht="21.75" customHeight="1">
      <c r="A71" s="16" t="s">
        <v>29</v>
      </c>
      <c r="B71" s="26"/>
      <c r="D71" s="28"/>
      <c r="E71" s="28"/>
      <c r="F71" s="28"/>
      <c r="G71" s="28"/>
      <c r="H71" s="28"/>
      <c r="I71" s="28"/>
      <c r="J71" s="28"/>
      <c r="K71" s="19"/>
    </row>
    <row r="72" spans="1:13" ht="21.75" customHeight="1">
      <c r="A72" s="20" t="s">
        <v>30</v>
      </c>
      <c r="B72" s="26"/>
      <c r="D72" s="28"/>
      <c r="E72" s="28"/>
      <c r="F72" s="28"/>
      <c r="G72" s="28"/>
      <c r="H72" s="28"/>
      <c r="I72" s="28"/>
      <c r="J72" s="28"/>
      <c r="K72" s="19"/>
    </row>
    <row r="73" spans="1:13" ht="21.75" customHeight="1">
      <c r="A73" s="20" t="s">
        <v>31</v>
      </c>
      <c r="B73" s="26"/>
      <c r="D73" s="28"/>
      <c r="E73" s="28"/>
      <c r="F73" s="28"/>
      <c r="G73" s="28"/>
      <c r="H73" s="28"/>
      <c r="I73" s="28"/>
      <c r="J73" s="28"/>
      <c r="K73" s="19"/>
    </row>
    <row r="74" spans="1:13" ht="21.75" customHeight="1" thickBot="1">
      <c r="A74" s="20" t="s">
        <v>32</v>
      </c>
      <c r="B74" s="26"/>
      <c r="D74" s="57">
        <v>2116753580</v>
      </c>
      <c r="E74" s="28"/>
      <c r="F74" s="57">
        <v>2116753580</v>
      </c>
      <c r="G74" s="28"/>
      <c r="H74" s="57">
        <v>2116753580</v>
      </c>
      <c r="I74" s="28"/>
      <c r="J74" s="57">
        <v>2116753580</v>
      </c>
      <c r="K74" s="19"/>
      <c r="L74" s="28"/>
      <c r="M74" s="28"/>
    </row>
    <row r="75" spans="1:13" ht="21.75" customHeight="1" thickTop="1">
      <c r="A75" s="20" t="s">
        <v>33</v>
      </c>
      <c r="B75" s="26"/>
      <c r="D75" s="38"/>
      <c r="E75" s="28"/>
      <c r="F75" s="38"/>
      <c r="G75" s="28"/>
      <c r="H75" s="38"/>
      <c r="I75" s="28"/>
      <c r="J75" s="38"/>
      <c r="L75" s="28"/>
      <c r="M75" s="28"/>
    </row>
    <row r="76" spans="1:13" ht="21.75" customHeight="1">
      <c r="A76" s="20" t="s">
        <v>34</v>
      </c>
      <c r="B76" s="26"/>
      <c r="D76" s="38">
        <v>1666827010</v>
      </c>
      <c r="E76" s="28"/>
      <c r="F76" s="38">
        <v>1666827010</v>
      </c>
      <c r="G76" s="28"/>
      <c r="H76" s="38">
        <v>1666827010</v>
      </c>
      <c r="I76" s="28"/>
      <c r="J76" s="38">
        <v>1666827010</v>
      </c>
      <c r="K76" s="19"/>
      <c r="L76" s="28"/>
      <c r="M76" s="28"/>
    </row>
    <row r="77" spans="1:13" ht="21.75" customHeight="1">
      <c r="A77" s="20" t="s">
        <v>35</v>
      </c>
      <c r="B77" s="26"/>
      <c r="D77" s="38">
        <v>2062460582</v>
      </c>
      <c r="E77" s="28"/>
      <c r="F77" s="38">
        <v>2062460582</v>
      </c>
      <c r="G77" s="28"/>
      <c r="H77" s="38">
        <v>2062460582</v>
      </c>
      <c r="I77" s="28"/>
      <c r="J77" s="38">
        <v>2062460582</v>
      </c>
      <c r="K77" s="19"/>
      <c r="L77" s="28"/>
      <c r="M77" s="28"/>
    </row>
    <row r="78" spans="1:13" ht="21.75" customHeight="1">
      <c r="A78" s="20" t="s">
        <v>223</v>
      </c>
      <c r="B78" s="26"/>
      <c r="D78" s="38"/>
      <c r="E78" s="28"/>
      <c r="F78" s="38"/>
      <c r="G78" s="28"/>
      <c r="H78" s="38"/>
      <c r="I78" s="28"/>
      <c r="J78" s="38"/>
      <c r="K78" s="19"/>
      <c r="L78" s="28"/>
      <c r="M78" s="28"/>
    </row>
    <row r="79" spans="1:13" ht="21.75" customHeight="1">
      <c r="A79" s="20" t="s">
        <v>225</v>
      </c>
      <c r="B79" s="26"/>
      <c r="D79" s="38">
        <v>-7372391</v>
      </c>
      <c r="E79" s="28"/>
      <c r="F79" s="38">
        <v>-7372391</v>
      </c>
      <c r="G79" s="28"/>
      <c r="H79" s="38">
        <v>0</v>
      </c>
      <c r="I79" s="28"/>
      <c r="J79" s="38">
        <v>0</v>
      </c>
      <c r="K79" s="19"/>
      <c r="L79" s="28"/>
      <c r="M79" s="28"/>
    </row>
    <row r="80" spans="1:13" ht="21.75" customHeight="1">
      <c r="A80" s="20" t="s">
        <v>36</v>
      </c>
      <c r="B80" s="26">
        <v>25</v>
      </c>
      <c r="D80" s="38">
        <v>568130588</v>
      </c>
      <c r="E80" s="28"/>
      <c r="F80" s="38">
        <v>568130588</v>
      </c>
      <c r="G80" s="28"/>
      <c r="H80" s="38">
        <v>0</v>
      </c>
      <c r="I80" s="28"/>
      <c r="J80" s="38">
        <v>0</v>
      </c>
      <c r="K80" s="19"/>
      <c r="L80" s="28"/>
      <c r="M80" s="28"/>
    </row>
    <row r="81" spans="1:13" ht="21.75" customHeight="1">
      <c r="A81" s="20" t="s">
        <v>37</v>
      </c>
      <c r="B81" s="26"/>
      <c r="D81" s="38"/>
      <c r="E81" s="28"/>
      <c r="F81" s="38"/>
      <c r="G81" s="28"/>
      <c r="H81" s="38"/>
      <c r="I81" s="28"/>
      <c r="J81" s="38"/>
      <c r="K81" s="19"/>
      <c r="L81" s="28"/>
      <c r="M81" s="28"/>
    </row>
    <row r="82" spans="1:13" ht="21.75" customHeight="1">
      <c r="A82" s="20" t="s">
        <v>38</v>
      </c>
      <c r="B82" s="26">
        <v>27</v>
      </c>
      <c r="D82" s="38">
        <v>211675358</v>
      </c>
      <c r="E82" s="28"/>
      <c r="F82" s="38">
        <v>211675358</v>
      </c>
      <c r="G82" s="28"/>
      <c r="H82" s="38">
        <v>211675358</v>
      </c>
      <c r="I82" s="28"/>
      <c r="J82" s="38">
        <v>211675358</v>
      </c>
      <c r="K82" s="19"/>
      <c r="L82" s="28"/>
      <c r="M82" s="28"/>
    </row>
    <row r="83" spans="1:13" ht="21.75" customHeight="1">
      <c r="A83" s="20" t="s">
        <v>39</v>
      </c>
      <c r="B83" s="26"/>
      <c r="D83" s="38">
        <v>-105060332</v>
      </c>
      <c r="E83" s="28"/>
      <c r="F83" s="38">
        <v>-493903003</v>
      </c>
      <c r="G83" s="28"/>
      <c r="H83" s="38">
        <v>229864351</v>
      </c>
      <c r="I83" s="28"/>
      <c r="J83" s="38">
        <v>201734273</v>
      </c>
      <c r="K83" s="19"/>
      <c r="L83" s="28"/>
      <c r="M83" s="28"/>
    </row>
    <row r="84" spans="1:13" ht="21.75" customHeight="1">
      <c r="A84" s="20" t="s">
        <v>73</v>
      </c>
      <c r="B84" s="26"/>
      <c r="D84" s="55">
        <v>10698370628</v>
      </c>
      <c r="E84" s="28"/>
      <c r="F84" s="55">
        <v>5715775515</v>
      </c>
      <c r="G84" s="28"/>
      <c r="H84" s="55">
        <v>144051429</v>
      </c>
      <c r="I84" s="28"/>
      <c r="J84" s="55">
        <v>141313392</v>
      </c>
      <c r="K84" s="19"/>
      <c r="L84" s="28"/>
      <c r="M84" s="28"/>
    </row>
    <row r="85" spans="1:13" ht="21.75" customHeight="1">
      <c r="A85" s="20" t="s">
        <v>91</v>
      </c>
      <c r="B85" s="26"/>
      <c r="D85" s="38">
        <f>SUM(D76:D84)</f>
        <v>15095031443</v>
      </c>
      <c r="E85" s="28"/>
      <c r="F85" s="38">
        <f>SUM(F76:F84)</f>
        <v>9723593659</v>
      </c>
      <c r="G85" s="28"/>
      <c r="H85" s="38">
        <f>SUM(H76:H84)</f>
        <v>4314878730</v>
      </c>
      <c r="I85" s="28"/>
      <c r="J85" s="38">
        <f>SUM(J76:J84)</f>
        <v>4284010615</v>
      </c>
      <c r="K85" s="19"/>
      <c r="L85" s="28"/>
      <c r="M85" s="28"/>
    </row>
    <row r="86" spans="1:13" ht="21.75" customHeight="1">
      <c r="A86" s="20" t="s">
        <v>101</v>
      </c>
      <c r="B86" s="26"/>
      <c r="D86" s="38"/>
      <c r="E86" s="28"/>
      <c r="F86" s="38"/>
      <c r="G86" s="28"/>
      <c r="H86" s="38"/>
      <c r="I86" s="28"/>
      <c r="J86" s="38"/>
      <c r="K86" s="19"/>
      <c r="L86" s="28"/>
      <c r="M86" s="28"/>
    </row>
    <row r="87" spans="1:13" ht="21.75" customHeight="1">
      <c r="A87" s="20" t="s">
        <v>102</v>
      </c>
      <c r="B87" s="26"/>
      <c r="D87" s="55">
        <v>133129444</v>
      </c>
      <c r="E87" s="28"/>
      <c r="F87" s="55">
        <f>124884093</f>
        <v>124884093</v>
      </c>
      <c r="G87" s="28"/>
      <c r="H87" s="55">
        <v>0</v>
      </c>
      <c r="I87" s="28"/>
      <c r="J87" s="55">
        <v>0</v>
      </c>
      <c r="K87" s="53"/>
      <c r="L87" s="28"/>
      <c r="M87" s="28"/>
    </row>
    <row r="88" spans="1:13" ht="21.75" customHeight="1">
      <c r="A88" s="16" t="s">
        <v>40</v>
      </c>
      <c r="B88" s="26"/>
      <c r="D88" s="29">
        <f t="shared" ref="D88:E88" si="0">SUM(D85:D87)</f>
        <v>15228160887</v>
      </c>
      <c r="E88" s="29">
        <f t="shared" si="0"/>
        <v>0</v>
      </c>
      <c r="F88" s="29">
        <f t="shared" ref="F88" si="1">SUM(F85:F87)</f>
        <v>9848477752</v>
      </c>
      <c r="G88" s="28"/>
      <c r="H88" s="29">
        <f>SUM(H85:H87)</f>
        <v>4314878730</v>
      </c>
      <c r="I88" s="28"/>
      <c r="J88" s="29">
        <f>SUM(J85:J87)</f>
        <v>4284010615</v>
      </c>
      <c r="K88" s="19"/>
      <c r="L88" s="28"/>
      <c r="M88" s="28"/>
    </row>
    <row r="89" spans="1:13" ht="21.75" customHeight="1" thickBot="1">
      <c r="A89" s="16" t="s">
        <v>41</v>
      </c>
      <c r="B89" s="26"/>
      <c r="D89" s="31">
        <f>D88+D61</f>
        <v>30050576941</v>
      </c>
      <c r="E89" s="28"/>
      <c r="F89" s="31">
        <f>F88+F61</f>
        <v>22683312544</v>
      </c>
      <c r="G89" s="28"/>
      <c r="H89" s="31">
        <f>H88+H61</f>
        <v>7357828039</v>
      </c>
      <c r="I89" s="28"/>
      <c r="J89" s="31">
        <f>J88+J61</f>
        <v>7181023296</v>
      </c>
      <c r="K89" s="19"/>
      <c r="L89" s="28"/>
      <c r="M89" s="28"/>
    </row>
    <row r="90" spans="1:13" ht="21.75" customHeight="1" thickTop="1">
      <c r="B90" s="34"/>
      <c r="C90" s="43"/>
      <c r="D90" s="38">
        <f>D89-D30</f>
        <v>0</v>
      </c>
      <c r="E90" s="38"/>
      <c r="F90" s="38">
        <f>F89-F30</f>
        <v>0</v>
      </c>
      <c r="G90" s="38"/>
      <c r="H90" s="38">
        <f>H89-H30</f>
        <v>0</v>
      </c>
      <c r="I90" s="38"/>
      <c r="J90" s="38">
        <f>J89-J30</f>
        <v>0</v>
      </c>
      <c r="K90" s="43"/>
      <c r="L90" s="28"/>
      <c r="M90" s="28"/>
    </row>
    <row r="91" spans="1:13" ht="21.75" customHeight="1">
      <c r="B91" s="34"/>
      <c r="C91" s="43"/>
      <c r="D91" s="38"/>
      <c r="E91" s="38"/>
      <c r="F91" s="38"/>
      <c r="G91" s="38"/>
      <c r="H91" s="38"/>
      <c r="I91" s="38"/>
      <c r="J91" s="38"/>
      <c r="K91" s="43"/>
    </row>
    <row r="92" spans="1:13" ht="21.75" customHeight="1">
      <c r="B92" s="34"/>
      <c r="C92" s="43"/>
      <c r="D92" s="38"/>
      <c r="E92" s="38"/>
      <c r="F92" s="38"/>
      <c r="G92" s="38"/>
      <c r="H92" s="38"/>
      <c r="I92" s="38"/>
      <c r="J92" s="38"/>
      <c r="K92" s="43"/>
    </row>
    <row r="93" spans="1:13" ht="21.75" customHeight="1">
      <c r="A93" s="20" t="s">
        <v>18</v>
      </c>
    </row>
    <row r="94" spans="1:13" ht="21.75" customHeight="1">
      <c r="A94" s="60"/>
      <c r="D94" s="39"/>
      <c r="F94" s="39"/>
      <c r="H94" s="39"/>
      <c r="J94" s="39"/>
    </row>
    <row r="95" spans="1:13" ht="21.75" customHeight="1">
      <c r="A95" s="61"/>
      <c r="D95" s="39"/>
      <c r="F95" s="39"/>
      <c r="H95" s="39"/>
      <c r="J95" s="20"/>
    </row>
    <row r="96" spans="1:13" ht="21.75" customHeight="1">
      <c r="D96" s="39"/>
      <c r="F96" s="39"/>
      <c r="H96" s="39"/>
      <c r="J96" s="20"/>
    </row>
    <row r="97" spans="1:10" ht="21.75" customHeight="1">
      <c r="B97" s="20" t="s">
        <v>104</v>
      </c>
      <c r="D97" s="39"/>
      <c r="F97" s="39"/>
      <c r="H97" s="39"/>
      <c r="J97" s="20"/>
    </row>
    <row r="98" spans="1:10" ht="21.75" customHeight="1">
      <c r="A98" s="61"/>
      <c r="F98" s="20"/>
      <c r="J98" s="20"/>
    </row>
  </sheetData>
  <mergeCells count="6">
    <mergeCell ref="H5:K5"/>
    <mergeCell ref="H38:K38"/>
    <mergeCell ref="D5:F5"/>
    <mergeCell ref="D38:F38"/>
    <mergeCell ref="D69:F69"/>
    <mergeCell ref="H69:K69"/>
  </mergeCells>
  <phoneticPr fontId="4" type="noConversion"/>
  <pageMargins left="0.78740157480314965" right="0.39370078740157483" top="0.78740157480314965" bottom="0.39370078740157483" header="0.19685039370078741" footer="0.19685039370078741"/>
  <pageSetup paperSize="9" scale="76" fitToHeight="2" orientation="portrait" r:id="rId1"/>
  <rowBreaks count="2" manualBreakCount="2">
    <brk id="33" max="9" man="1"/>
    <brk id="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83"/>
  <sheetViews>
    <sheetView showGridLines="0" view="pageBreakPreview" topLeftCell="A58" zoomScale="115" zoomScaleNormal="100" zoomScaleSheetLayoutView="115" workbookViewId="0">
      <selection activeCell="D19" sqref="D19"/>
    </sheetView>
  </sheetViews>
  <sheetFormatPr defaultColWidth="9.28515625" defaultRowHeight="21.75" customHeight="1"/>
  <cols>
    <col min="1" max="1" width="56.42578125" style="112" customWidth="1"/>
    <col min="2" max="2" width="4.7109375" style="112" customWidth="1"/>
    <col min="3" max="3" width="1.7109375" style="112" customWidth="1"/>
    <col min="4" max="4" width="15.7109375" style="111" customWidth="1"/>
    <col min="5" max="5" width="1.7109375" style="112" customWidth="1"/>
    <col min="6" max="6" width="15.7109375" style="111" customWidth="1"/>
    <col min="7" max="7" width="1.7109375" style="112" customWidth="1"/>
    <col min="8" max="8" width="15.7109375" style="111" customWidth="1"/>
    <col min="9" max="9" width="1.7109375" style="112" customWidth="1"/>
    <col min="10" max="10" width="15.7109375" style="111" customWidth="1"/>
    <col min="11" max="11" width="16.28515625" style="112" bestFit="1" customWidth="1"/>
    <col min="12" max="13" width="17.28515625" style="121" bestFit="1" customWidth="1"/>
    <col min="14" max="14" width="14.42578125" style="121" customWidth="1"/>
    <col min="15" max="15" width="15" style="121" bestFit="1" customWidth="1"/>
    <col min="16" max="16" width="13.5703125" style="121" bestFit="1" customWidth="1"/>
    <col min="17" max="17" width="9.28515625" style="121"/>
    <col min="18" max="16384" width="9.28515625" style="112"/>
  </cols>
  <sheetData>
    <row r="1" spans="1:17" s="107" customFormat="1" ht="21.75" customHeight="1">
      <c r="A1" s="107" t="s">
        <v>0</v>
      </c>
      <c r="D1" s="108"/>
      <c r="F1" s="108"/>
      <c r="H1" s="108"/>
      <c r="J1" s="108"/>
      <c r="L1" s="109"/>
      <c r="M1" s="109"/>
      <c r="N1" s="109"/>
      <c r="O1" s="109"/>
      <c r="P1" s="109"/>
      <c r="Q1" s="109"/>
    </row>
    <row r="2" spans="1:17" s="107" customFormat="1" ht="21.75" customHeight="1">
      <c r="A2" s="107" t="s">
        <v>92</v>
      </c>
      <c r="D2" s="108"/>
      <c r="F2" s="108"/>
      <c r="H2" s="108"/>
      <c r="J2" s="108"/>
      <c r="L2" s="109"/>
      <c r="M2" s="109"/>
      <c r="N2" s="109"/>
      <c r="O2" s="109"/>
      <c r="P2" s="109"/>
      <c r="Q2" s="109"/>
    </row>
    <row r="3" spans="1:17" s="107" customFormat="1" ht="21.75" customHeight="1">
      <c r="A3" s="107" t="s">
        <v>246</v>
      </c>
      <c r="D3" s="108"/>
      <c r="F3" s="108"/>
      <c r="H3" s="108"/>
      <c r="J3" s="108"/>
      <c r="L3" s="109"/>
      <c r="M3" s="109"/>
      <c r="N3" s="109"/>
      <c r="O3" s="109"/>
      <c r="P3" s="109"/>
      <c r="Q3" s="109"/>
    </row>
    <row r="4" spans="1:17" s="110" customFormat="1" ht="21.75" customHeight="1">
      <c r="D4" s="111"/>
      <c r="E4" s="112"/>
      <c r="F4" s="111"/>
      <c r="G4" s="112"/>
      <c r="H4" s="113"/>
      <c r="I4" s="112"/>
      <c r="J4" s="113" t="s">
        <v>1</v>
      </c>
      <c r="L4" s="114"/>
      <c r="M4" s="114"/>
      <c r="N4" s="114"/>
      <c r="O4" s="114"/>
      <c r="P4" s="114"/>
      <c r="Q4" s="114"/>
    </row>
    <row r="5" spans="1:17" s="115" customFormat="1" ht="21.75" customHeight="1">
      <c r="D5" s="116"/>
      <c r="E5" s="117" t="s">
        <v>2</v>
      </c>
      <c r="F5" s="116"/>
      <c r="H5" s="116"/>
      <c r="I5" s="117" t="s">
        <v>3</v>
      </c>
      <c r="J5" s="116"/>
      <c r="L5" s="118"/>
      <c r="M5" s="118"/>
      <c r="N5" s="118"/>
      <c r="O5" s="118"/>
      <c r="P5" s="118"/>
      <c r="Q5" s="118"/>
    </row>
    <row r="6" spans="1:17" s="110" customFormat="1" ht="21.75" customHeight="1">
      <c r="B6" s="119" t="s">
        <v>4</v>
      </c>
      <c r="D6" s="119">
        <v>2023</v>
      </c>
      <c r="F6" s="119">
        <v>2022</v>
      </c>
      <c r="H6" s="119">
        <v>2023</v>
      </c>
      <c r="J6" s="119">
        <v>2022</v>
      </c>
      <c r="L6" s="114"/>
      <c r="M6" s="114"/>
      <c r="N6" s="114"/>
      <c r="O6" s="114"/>
      <c r="P6" s="114"/>
      <c r="Q6" s="114"/>
    </row>
    <row r="7" spans="1:17" ht="21.75" customHeight="1">
      <c r="A7" s="107" t="s">
        <v>134</v>
      </c>
      <c r="B7" s="120">
        <v>28</v>
      </c>
    </row>
    <row r="8" spans="1:17" ht="21.75" customHeight="1">
      <c r="A8" s="122" t="s">
        <v>121</v>
      </c>
      <c r="D8" s="123">
        <v>3700579453</v>
      </c>
      <c r="E8" s="124">
        <v>0</v>
      </c>
      <c r="F8" s="123">
        <v>2397982387</v>
      </c>
      <c r="G8" s="124">
        <v>0</v>
      </c>
      <c r="H8" s="123">
        <v>42470160</v>
      </c>
      <c r="I8" s="124">
        <v>0</v>
      </c>
      <c r="J8" s="123">
        <v>30167291</v>
      </c>
    </row>
    <row r="9" spans="1:17" ht="21.75" customHeight="1">
      <c r="A9" s="122" t="s">
        <v>122</v>
      </c>
      <c r="B9" s="120"/>
      <c r="D9" s="123">
        <v>2263034611</v>
      </c>
      <c r="E9" s="124">
        <v>0</v>
      </c>
      <c r="F9" s="123">
        <v>2314067434</v>
      </c>
      <c r="G9" s="124">
        <v>0</v>
      </c>
      <c r="H9" s="124">
        <v>0</v>
      </c>
      <c r="I9" s="124">
        <v>0</v>
      </c>
      <c r="J9" s="124">
        <v>0</v>
      </c>
    </row>
    <row r="10" spans="1:17" ht="21.75" customHeight="1">
      <c r="A10" s="122" t="s">
        <v>120</v>
      </c>
      <c r="B10" s="120"/>
      <c r="D10" s="123">
        <v>35056276</v>
      </c>
      <c r="E10" s="124">
        <v>0</v>
      </c>
      <c r="F10" s="123">
        <v>35801267</v>
      </c>
      <c r="G10" s="124">
        <v>0</v>
      </c>
      <c r="H10" s="123">
        <v>12113318</v>
      </c>
      <c r="I10" s="124">
        <v>0</v>
      </c>
      <c r="J10" s="123">
        <v>11501384</v>
      </c>
    </row>
    <row r="11" spans="1:17" ht="21.75" customHeight="1">
      <c r="A11" s="112" t="s">
        <v>42</v>
      </c>
      <c r="B11" s="120">
        <v>29</v>
      </c>
      <c r="D11" s="125">
        <v>117900772</v>
      </c>
      <c r="E11" s="124">
        <v>0</v>
      </c>
      <c r="F11" s="125">
        <v>48818357</v>
      </c>
      <c r="G11" s="124">
        <v>0</v>
      </c>
      <c r="H11" s="125">
        <v>302140021</v>
      </c>
      <c r="I11" s="124">
        <v>0</v>
      </c>
      <c r="J11" s="125">
        <v>113883959</v>
      </c>
    </row>
    <row r="12" spans="1:17" ht="21.75" customHeight="1">
      <c r="A12" s="107" t="s">
        <v>135</v>
      </c>
      <c r="B12" s="120"/>
      <c r="D12" s="125">
        <f>SUM(D8:D11)</f>
        <v>6116571112</v>
      </c>
      <c r="E12" s="124"/>
      <c r="F12" s="125">
        <f>SUM(F8:F11)</f>
        <v>4796669445</v>
      </c>
      <c r="G12" s="124"/>
      <c r="H12" s="125">
        <f>SUM(H8:H11)</f>
        <v>356723499</v>
      </c>
      <c r="I12" s="124"/>
      <c r="J12" s="125">
        <f>SUM(J8:J11)</f>
        <v>155552634</v>
      </c>
    </row>
    <row r="13" spans="1:17" ht="21.75" customHeight="1">
      <c r="A13" s="107" t="s">
        <v>43</v>
      </c>
      <c r="B13" s="120"/>
      <c r="D13" s="123"/>
      <c r="E13" s="124"/>
      <c r="F13" s="123"/>
      <c r="G13" s="124"/>
      <c r="H13" s="124"/>
      <c r="I13" s="124"/>
      <c r="J13" s="124"/>
      <c r="L13" s="112"/>
      <c r="M13" s="112"/>
    </row>
    <row r="14" spans="1:17" ht="21.75" customHeight="1">
      <c r="A14" s="112" t="s">
        <v>44</v>
      </c>
      <c r="B14" s="120"/>
      <c r="D14" s="123">
        <v>2320296024</v>
      </c>
      <c r="E14" s="124">
        <v>0</v>
      </c>
      <c r="F14" s="123">
        <v>1581799275</v>
      </c>
      <c r="G14" s="124">
        <v>0</v>
      </c>
      <c r="H14" s="123">
        <v>24154471</v>
      </c>
      <c r="I14" s="124">
        <v>0</v>
      </c>
      <c r="J14" s="123">
        <v>16652489</v>
      </c>
      <c r="L14" s="112"/>
      <c r="M14" s="112"/>
    </row>
    <row r="15" spans="1:17" ht="21.75" customHeight="1">
      <c r="A15" s="112" t="s">
        <v>45</v>
      </c>
      <c r="B15" s="120"/>
      <c r="D15" s="123">
        <v>1160393034</v>
      </c>
      <c r="E15" s="124">
        <v>0</v>
      </c>
      <c r="F15" s="123">
        <v>1322326909</v>
      </c>
      <c r="G15" s="124">
        <v>0</v>
      </c>
      <c r="H15" s="124">
        <v>0</v>
      </c>
      <c r="I15" s="124">
        <v>0</v>
      </c>
      <c r="J15" s="124">
        <v>0</v>
      </c>
      <c r="L15" s="112"/>
      <c r="M15" s="112"/>
    </row>
    <row r="16" spans="1:17" ht="21.75" customHeight="1">
      <c r="A16" s="112" t="s">
        <v>46</v>
      </c>
      <c r="B16" s="120"/>
      <c r="D16" s="123">
        <v>32018773</v>
      </c>
      <c r="E16" s="124">
        <v>0</v>
      </c>
      <c r="F16" s="123">
        <v>25544012</v>
      </c>
      <c r="G16" s="124">
        <v>0</v>
      </c>
      <c r="H16" s="123">
        <v>5155316</v>
      </c>
      <c r="I16" s="124">
        <v>0</v>
      </c>
      <c r="J16" s="123">
        <v>4748173</v>
      </c>
      <c r="L16" s="112"/>
      <c r="M16" s="112"/>
    </row>
    <row r="17" spans="1:17" ht="21.75" customHeight="1">
      <c r="A17" s="112" t="s">
        <v>47</v>
      </c>
      <c r="B17" s="120"/>
      <c r="D17" s="123">
        <v>694641763</v>
      </c>
      <c r="E17" s="124">
        <v>0</v>
      </c>
      <c r="F17" s="123">
        <v>479555173</v>
      </c>
      <c r="G17" s="124">
        <v>0</v>
      </c>
      <c r="H17" s="123">
        <v>288478</v>
      </c>
      <c r="I17" s="124">
        <v>0</v>
      </c>
      <c r="J17" s="123">
        <v>194475</v>
      </c>
      <c r="L17" s="112"/>
      <c r="M17" s="112"/>
    </row>
    <row r="18" spans="1:17" ht="21.75" customHeight="1">
      <c r="A18" s="112" t="s">
        <v>48</v>
      </c>
      <c r="B18" s="120"/>
      <c r="D18" s="123">
        <v>1191050396</v>
      </c>
      <c r="E18" s="124">
        <v>0</v>
      </c>
      <c r="F18" s="123">
        <v>1263241169</v>
      </c>
      <c r="G18" s="124">
        <v>0</v>
      </c>
      <c r="H18" s="123">
        <v>226632627</v>
      </c>
      <c r="I18" s="124">
        <v>0</v>
      </c>
      <c r="J18" s="123">
        <v>199242031</v>
      </c>
    </row>
    <row r="19" spans="1:17" ht="21.75" customHeight="1">
      <c r="A19" s="107" t="s">
        <v>49</v>
      </c>
      <c r="B19" s="120"/>
      <c r="D19" s="126">
        <f>SUM(D14:D18)</f>
        <v>5398399990</v>
      </c>
      <c r="E19" s="124"/>
      <c r="F19" s="126">
        <f>SUM(F14:F18)</f>
        <v>4672466538</v>
      </c>
      <c r="G19" s="124"/>
      <c r="H19" s="126">
        <f>SUM(H14:H18)</f>
        <v>256230892</v>
      </c>
      <c r="I19" s="124"/>
      <c r="J19" s="126">
        <f>SUM(J14:J18)</f>
        <v>220837168</v>
      </c>
    </row>
    <row r="20" spans="1:17" ht="21.75" customHeight="1">
      <c r="A20" s="107" t="s">
        <v>226</v>
      </c>
      <c r="B20" s="120"/>
      <c r="D20" s="123">
        <f>D12-D19</f>
        <v>718171122</v>
      </c>
      <c r="E20" s="124"/>
      <c r="F20" s="123">
        <f>F12-F19</f>
        <v>124202907</v>
      </c>
      <c r="G20" s="124"/>
      <c r="H20" s="123">
        <f>H12-H19</f>
        <v>100492607</v>
      </c>
      <c r="I20" s="124"/>
      <c r="J20" s="123">
        <f>J12-J19</f>
        <v>-65284534</v>
      </c>
    </row>
    <row r="21" spans="1:17" ht="21.75" customHeight="1">
      <c r="A21" s="112" t="s">
        <v>119</v>
      </c>
      <c r="B21" s="120">
        <v>16</v>
      </c>
      <c r="D21" s="127">
        <v>9707176</v>
      </c>
      <c r="E21" s="124">
        <v>0</v>
      </c>
      <c r="F21" s="127">
        <v>28529666</v>
      </c>
      <c r="G21" s="124">
        <v>0</v>
      </c>
      <c r="H21" s="127">
        <v>0</v>
      </c>
      <c r="I21" s="124">
        <v>0</v>
      </c>
      <c r="J21" s="127">
        <v>0</v>
      </c>
      <c r="Q21" s="128"/>
    </row>
    <row r="22" spans="1:17" ht="21.75" customHeight="1">
      <c r="A22" s="112" t="s">
        <v>133</v>
      </c>
      <c r="B22" s="120"/>
      <c r="D22" s="127">
        <v>45849700</v>
      </c>
      <c r="E22" s="124">
        <v>0</v>
      </c>
      <c r="F22" s="127">
        <v>40919275</v>
      </c>
      <c r="G22" s="124">
        <v>0</v>
      </c>
      <c r="H22" s="127">
        <v>57526989</v>
      </c>
      <c r="I22" s="124">
        <v>0</v>
      </c>
      <c r="J22" s="127">
        <v>46761266</v>
      </c>
      <c r="Q22" s="128"/>
    </row>
    <row r="23" spans="1:17" ht="21.75" customHeight="1">
      <c r="A23" s="112" t="s">
        <v>50</v>
      </c>
      <c r="B23" s="120">
        <v>30</v>
      </c>
      <c r="D23" s="125">
        <v>-209398793</v>
      </c>
      <c r="E23" s="124">
        <v>0</v>
      </c>
      <c r="F23" s="125">
        <f>-200521276-1362756</f>
        <v>-201884032</v>
      </c>
      <c r="G23" s="124">
        <v>0</v>
      </c>
      <c r="H23" s="125">
        <v>-109623464</v>
      </c>
      <c r="I23" s="124">
        <v>0</v>
      </c>
      <c r="J23" s="125">
        <v>-77818371</v>
      </c>
    </row>
    <row r="24" spans="1:17" ht="21.75" customHeight="1">
      <c r="A24" s="107" t="s">
        <v>264</v>
      </c>
      <c r="B24" s="120"/>
      <c r="D24" s="129">
        <f>SUM(D20:D23)</f>
        <v>564329205</v>
      </c>
      <c r="E24" s="124"/>
      <c r="F24" s="129">
        <f>SUM(F20:F23)</f>
        <v>-8232184</v>
      </c>
      <c r="G24" s="124"/>
      <c r="H24" s="129">
        <f>SUM(H20:H23)</f>
        <v>48396132</v>
      </c>
      <c r="I24" s="124"/>
      <c r="J24" s="129">
        <f>SUM(J20:J23)</f>
        <v>-96341639</v>
      </c>
      <c r="Q24" s="128"/>
    </row>
    <row r="25" spans="1:17" ht="21.75" customHeight="1">
      <c r="A25" s="112" t="s">
        <v>227</v>
      </c>
      <c r="B25" s="120">
        <v>32</v>
      </c>
      <c r="D25" s="125">
        <v>-188675148</v>
      </c>
      <c r="E25" s="124">
        <v>0</v>
      </c>
      <c r="F25" s="125">
        <v>13504746</v>
      </c>
      <c r="G25" s="124">
        <v>0</v>
      </c>
      <c r="H25" s="125">
        <v>-1546562</v>
      </c>
      <c r="I25" s="124">
        <v>0</v>
      </c>
      <c r="J25" s="125">
        <v>723988</v>
      </c>
    </row>
    <row r="26" spans="1:17" ht="21.75" customHeight="1" thickBot="1">
      <c r="A26" s="107" t="s">
        <v>198</v>
      </c>
      <c r="B26" s="120"/>
      <c r="D26" s="130">
        <f>SUM(D24:D25)</f>
        <v>375654057</v>
      </c>
      <c r="E26" s="124"/>
      <c r="F26" s="130">
        <f>SUM(F24:F25)</f>
        <v>5272562</v>
      </c>
      <c r="G26" s="124"/>
      <c r="H26" s="130">
        <f>SUM(H24:H25)</f>
        <v>46849570</v>
      </c>
      <c r="I26" s="124"/>
      <c r="J26" s="130">
        <f>SUM(J24:J25)</f>
        <v>-95617651</v>
      </c>
    </row>
    <row r="27" spans="1:17" ht="21.75" customHeight="1" thickTop="1">
      <c r="A27" s="107"/>
      <c r="B27" s="120"/>
      <c r="D27" s="124"/>
      <c r="E27" s="124"/>
      <c r="F27" s="124"/>
      <c r="G27" s="124"/>
      <c r="I27" s="124"/>
    </row>
    <row r="28" spans="1:17" ht="21.75" customHeight="1">
      <c r="A28" s="107" t="s">
        <v>112</v>
      </c>
      <c r="B28" s="120"/>
      <c r="D28" s="124"/>
      <c r="E28" s="124"/>
      <c r="F28" s="124"/>
      <c r="G28" s="124"/>
      <c r="I28" s="124"/>
    </row>
    <row r="29" spans="1:17" ht="21.75" customHeight="1" thickBot="1">
      <c r="A29" s="112" t="s">
        <v>71</v>
      </c>
      <c r="B29" s="120"/>
      <c r="D29" s="131">
        <f>SUM(D26-D30)</f>
        <v>367638850</v>
      </c>
      <c r="E29" s="124"/>
      <c r="F29" s="131">
        <f>SUM(F26-F30)</f>
        <v>7106270</v>
      </c>
      <c r="G29" s="124"/>
      <c r="H29" s="132">
        <f>H26</f>
        <v>46849570</v>
      </c>
      <c r="I29" s="124"/>
      <c r="J29" s="132">
        <f>J26</f>
        <v>-95617651</v>
      </c>
    </row>
    <row r="30" spans="1:17" ht="21.75" customHeight="1" thickTop="1">
      <c r="A30" s="112" t="s">
        <v>70</v>
      </c>
      <c r="B30" s="120"/>
      <c r="D30" s="125">
        <v>8015207</v>
      </c>
      <c r="E30" s="124"/>
      <c r="F30" s="125">
        <v>-1833708</v>
      </c>
      <c r="G30" s="124"/>
      <c r="I30" s="124"/>
    </row>
    <row r="31" spans="1:17" ht="21.75" customHeight="1" thickBot="1">
      <c r="B31" s="120"/>
      <c r="D31" s="133">
        <f>SUM(D29:D30)</f>
        <v>375654057</v>
      </c>
      <c r="E31" s="124"/>
      <c r="F31" s="133">
        <f>SUM(F29:F30)</f>
        <v>5272562</v>
      </c>
      <c r="G31" s="124"/>
      <c r="I31" s="124"/>
    </row>
    <row r="32" spans="1:17" ht="21.75" customHeight="1" thickTop="1">
      <c r="B32" s="120"/>
      <c r="D32" s="124"/>
      <c r="E32" s="124"/>
      <c r="F32" s="124"/>
      <c r="G32" s="124"/>
      <c r="I32" s="124"/>
    </row>
    <row r="33" spans="1:17" ht="21.75" customHeight="1">
      <c r="A33" s="107" t="s">
        <v>230</v>
      </c>
      <c r="B33" s="120">
        <v>33</v>
      </c>
      <c r="D33" s="124"/>
      <c r="E33" s="124"/>
      <c r="F33" s="124"/>
      <c r="G33" s="124"/>
      <c r="I33" s="124"/>
    </row>
    <row r="34" spans="1:17" ht="21.75" customHeight="1">
      <c r="A34" s="107" t="s">
        <v>228</v>
      </c>
      <c r="B34" s="120"/>
      <c r="D34" s="121"/>
      <c r="F34" s="121"/>
    </row>
    <row r="35" spans="1:17" ht="21.75" customHeight="1" thickBot="1">
      <c r="A35" s="112" t="s">
        <v>229</v>
      </c>
      <c r="B35" s="120"/>
      <c r="D35" s="134">
        <f>+D29/166682701</f>
        <v>2.2056209060351142</v>
      </c>
      <c r="E35" s="121"/>
      <c r="F35" s="134">
        <f>+F29/166682701</f>
        <v>4.2633518399728836E-2</v>
      </c>
      <c r="G35" s="121"/>
      <c r="H35" s="134">
        <f>H29/166682701</f>
        <v>0.28107037934308493</v>
      </c>
      <c r="I35" s="121"/>
      <c r="J35" s="134">
        <f>J29/166682701</f>
        <v>-0.57365071735908579</v>
      </c>
    </row>
    <row r="36" spans="1:17" ht="21.75" customHeight="1" thickTop="1"/>
    <row r="37" spans="1:17" ht="21.75" customHeight="1">
      <c r="A37" s="112" t="s">
        <v>18</v>
      </c>
      <c r="B37" s="110"/>
      <c r="E37" s="124"/>
      <c r="G37" s="124"/>
      <c r="I37" s="124"/>
    </row>
    <row r="38" spans="1:17" s="107" customFormat="1" ht="21.75" customHeight="1">
      <c r="A38" s="107" t="s">
        <v>0</v>
      </c>
      <c r="D38" s="108"/>
      <c r="F38" s="108"/>
      <c r="H38" s="108"/>
      <c r="J38" s="108"/>
      <c r="L38" s="121"/>
      <c r="M38" s="121"/>
      <c r="N38" s="121"/>
      <c r="O38" s="121"/>
      <c r="P38" s="121"/>
      <c r="Q38" s="109"/>
    </row>
    <row r="39" spans="1:17" s="107" customFormat="1" ht="21.75" customHeight="1">
      <c r="A39" s="107" t="s">
        <v>98</v>
      </c>
      <c r="D39" s="108"/>
      <c r="F39" s="108"/>
      <c r="H39" s="108"/>
      <c r="J39" s="108"/>
      <c r="L39" s="121"/>
      <c r="M39" s="121"/>
      <c r="N39" s="121"/>
      <c r="O39" s="121"/>
      <c r="P39" s="121"/>
      <c r="Q39" s="109"/>
    </row>
    <row r="40" spans="1:17" s="107" customFormat="1" ht="21.75" customHeight="1">
      <c r="A40" s="107" t="str">
        <f>A3</f>
        <v>For the year ended 31 December 2023</v>
      </c>
      <c r="D40" s="108"/>
      <c r="F40" s="108"/>
      <c r="H40" s="108"/>
      <c r="J40" s="108"/>
      <c r="L40" s="121"/>
      <c r="M40" s="121"/>
      <c r="N40" s="121"/>
      <c r="O40" s="121"/>
      <c r="P40" s="121"/>
      <c r="Q40" s="109"/>
    </row>
    <row r="41" spans="1:17" s="110" customFormat="1" ht="21.75" customHeight="1">
      <c r="D41" s="111"/>
      <c r="E41" s="112"/>
      <c r="F41" s="111"/>
      <c r="G41" s="112"/>
      <c r="H41" s="113"/>
      <c r="I41" s="112"/>
      <c r="J41" s="113" t="s">
        <v>1</v>
      </c>
      <c r="L41" s="121"/>
      <c r="M41" s="121"/>
      <c r="N41" s="121"/>
      <c r="O41" s="121"/>
      <c r="P41" s="121"/>
      <c r="Q41" s="114"/>
    </row>
    <row r="42" spans="1:17" s="115" customFormat="1" ht="21.75" customHeight="1">
      <c r="D42" s="116"/>
      <c r="E42" s="117" t="s">
        <v>2</v>
      </c>
      <c r="F42" s="116"/>
      <c r="H42" s="116"/>
      <c r="I42" s="117" t="s">
        <v>3</v>
      </c>
      <c r="J42" s="116"/>
      <c r="L42" s="121"/>
      <c r="M42" s="121"/>
      <c r="N42" s="121"/>
      <c r="O42" s="121"/>
      <c r="P42" s="121"/>
      <c r="Q42" s="118"/>
    </row>
    <row r="43" spans="1:17" s="110" customFormat="1" ht="21.75" customHeight="1">
      <c r="B43" s="119" t="s">
        <v>4</v>
      </c>
      <c r="D43" s="119">
        <f>D6</f>
        <v>2023</v>
      </c>
      <c r="F43" s="119">
        <f>F6</f>
        <v>2022</v>
      </c>
      <c r="H43" s="119">
        <f>H6</f>
        <v>2023</v>
      </c>
      <c r="J43" s="119">
        <f>J6</f>
        <v>2022</v>
      </c>
      <c r="L43" s="121"/>
      <c r="M43" s="121"/>
      <c r="N43" s="121"/>
      <c r="O43" s="121"/>
      <c r="P43" s="121"/>
      <c r="Q43" s="114"/>
    </row>
    <row r="44" spans="1:17" s="110" customFormat="1" ht="21.75" customHeight="1">
      <c r="B44" s="111"/>
      <c r="D44" s="135"/>
      <c r="F44" s="136"/>
      <c r="H44" s="135"/>
      <c r="J44" s="136"/>
      <c r="L44" s="121"/>
      <c r="M44" s="121"/>
      <c r="N44" s="121"/>
      <c r="O44" s="121"/>
      <c r="P44" s="121"/>
      <c r="Q44" s="114"/>
    </row>
    <row r="45" spans="1:17" ht="21.75" customHeight="1" thickBot="1">
      <c r="A45" s="107" t="s">
        <v>198</v>
      </c>
      <c r="B45" s="110"/>
      <c r="D45" s="133">
        <f>+D31</f>
        <v>375654057</v>
      </c>
      <c r="E45" s="124"/>
      <c r="F45" s="133">
        <f>+F31</f>
        <v>5272562</v>
      </c>
      <c r="G45" s="124"/>
      <c r="H45" s="133">
        <f>+H29</f>
        <v>46849570</v>
      </c>
      <c r="I45" s="124"/>
      <c r="J45" s="133">
        <f>+J29</f>
        <v>-95617651</v>
      </c>
    </row>
    <row r="46" spans="1:17" ht="21.75" customHeight="1" thickTop="1">
      <c r="A46" s="107"/>
      <c r="B46" s="110"/>
      <c r="D46" s="124"/>
      <c r="E46" s="124"/>
      <c r="F46" s="124"/>
      <c r="G46" s="124"/>
      <c r="H46" s="124"/>
      <c r="I46" s="124"/>
      <c r="J46" s="124"/>
    </row>
    <row r="47" spans="1:17" ht="21.75" customHeight="1">
      <c r="A47" s="107" t="s">
        <v>199</v>
      </c>
      <c r="B47" s="110"/>
      <c r="D47" s="124"/>
      <c r="E47" s="124"/>
      <c r="F47" s="124"/>
      <c r="G47" s="124"/>
      <c r="H47" s="124"/>
      <c r="I47" s="124"/>
      <c r="J47" s="124"/>
    </row>
    <row r="48" spans="1:17" ht="21.75" customHeight="1">
      <c r="A48" s="137" t="s">
        <v>211</v>
      </c>
      <c r="B48" s="110"/>
      <c r="D48" s="124"/>
      <c r="E48" s="124"/>
      <c r="F48" s="124"/>
      <c r="G48" s="124"/>
      <c r="H48" s="124"/>
      <c r="I48" s="124"/>
      <c r="J48" s="124"/>
    </row>
    <row r="49" spans="1:11" ht="21.75" customHeight="1">
      <c r="A49" s="137" t="s">
        <v>111</v>
      </c>
      <c r="B49" s="110"/>
      <c r="D49" s="124"/>
      <c r="E49" s="124"/>
      <c r="F49" s="124"/>
      <c r="G49" s="124"/>
      <c r="H49" s="124"/>
      <c r="I49" s="124"/>
      <c r="J49" s="124"/>
    </row>
    <row r="50" spans="1:11" ht="21.75" customHeight="1">
      <c r="A50" s="112" t="s">
        <v>115</v>
      </c>
      <c r="B50" s="120"/>
      <c r="D50" s="124"/>
      <c r="E50" s="124"/>
      <c r="F50" s="124"/>
      <c r="G50" s="124"/>
      <c r="H50" s="124"/>
      <c r="I50" s="124"/>
      <c r="J50" s="124"/>
    </row>
    <row r="51" spans="1:11" ht="21.75" customHeight="1">
      <c r="A51" s="112" t="s">
        <v>132</v>
      </c>
      <c r="B51" s="120"/>
      <c r="D51" s="138">
        <v>-5126875</v>
      </c>
      <c r="E51" s="124">
        <v>0</v>
      </c>
      <c r="F51" s="138">
        <v>10237281</v>
      </c>
      <c r="G51" s="124"/>
      <c r="H51" s="127">
        <v>0</v>
      </c>
      <c r="I51" s="124"/>
      <c r="J51" s="127">
        <v>0</v>
      </c>
    </row>
    <row r="52" spans="1:11" ht="21.75" customHeight="1">
      <c r="A52" s="112" t="s">
        <v>200</v>
      </c>
      <c r="B52" s="120">
        <v>16</v>
      </c>
      <c r="D52" s="139">
        <v>-3127703</v>
      </c>
      <c r="E52" s="124">
        <v>0</v>
      </c>
      <c r="F52" s="139">
        <v>-11022337</v>
      </c>
      <c r="G52" s="124"/>
      <c r="H52" s="139">
        <v>0</v>
      </c>
      <c r="I52" s="124"/>
      <c r="J52" s="139">
        <v>0</v>
      </c>
    </row>
    <row r="53" spans="1:11" ht="21.75" customHeight="1">
      <c r="A53" s="112" t="s">
        <v>211</v>
      </c>
      <c r="B53" s="120"/>
      <c r="D53" s="127"/>
      <c r="E53" s="124"/>
      <c r="F53" s="127"/>
      <c r="G53" s="124"/>
      <c r="H53" s="127"/>
      <c r="I53" s="124"/>
      <c r="J53" s="127"/>
    </row>
    <row r="54" spans="1:11" ht="21.75" customHeight="1">
      <c r="A54" s="112" t="s">
        <v>117</v>
      </c>
      <c r="B54" s="120"/>
      <c r="D54" s="140">
        <f>SUM(D51:D52)</f>
        <v>-8254578</v>
      </c>
      <c r="E54" s="124"/>
      <c r="F54" s="140">
        <f>SUM(F51:F52)</f>
        <v>-785056</v>
      </c>
      <c r="G54" s="124"/>
      <c r="H54" s="140">
        <f>SUM(H51:H52)</f>
        <v>0</v>
      </c>
      <c r="I54" s="124"/>
      <c r="J54" s="140">
        <f>SUM(J51:J52)</f>
        <v>0</v>
      </c>
    </row>
    <row r="55" spans="1:11" ht="21.75" customHeight="1">
      <c r="B55" s="120"/>
      <c r="D55" s="124"/>
      <c r="E55" s="124"/>
      <c r="F55" s="124"/>
      <c r="G55" s="124"/>
      <c r="H55" s="124"/>
      <c r="I55" s="124"/>
      <c r="J55" s="124"/>
    </row>
    <row r="56" spans="1:11" ht="21.75" customHeight="1">
      <c r="A56" s="137" t="s">
        <v>201</v>
      </c>
      <c r="B56" s="120"/>
      <c r="D56" s="124"/>
      <c r="E56" s="124"/>
      <c r="F56" s="124"/>
      <c r="G56" s="124"/>
      <c r="H56" s="124"/>
      <c r="I56" s="124"/>
      <c r="J56" s="124"/>
    </row>
    <row r="57" spans="1:11" ht="21.75" customHeight="1">
      <c r="A57" s="137" t="s">
        <v>111</v>
      </c>
      <c r="B57" s="120"/>
      <c r="D57" s="124"/>
      <c r="E57" s="124"/>
      <c r="F57" s="124"/>
      <c r="G57" s="124"/>
      <c r="H57" s="124"/>
      <c r="I57" s="124"/>
      <c r="J57" s="124"/>
    </row>
    <row r="58" spans="1:11" ht="21.75" customHeight="1">
      <c r="A58" s="112" t="s">
        <v>273</v>
      </c>
      <c r="B58" s="120"/>
      <c r="D58" s="145">
        <v>-32218539</v>
      </c>
      <c r="E58" s="124"/>
      <c r="F58" s="124">
        <v>0</v>
      </c>
      <c r="G58" s="124"/>
      <c r="H58" s="124">
        <v>-18719492</v>
      </c>
      <c r="I58" s="124"/>
      <c r="J58" s="124">
        <v>0</v>
      </c>
    </row>
    <row r="59" spans="1:11" ht="21.75" customHeight="1">
      <c r="A59" s="112" t="s">
        <v>261</v>
      </c>
      <c r="B59" s="120"/>
      <c r="D59" s="124">
        <v>4944939490</v>
      </c>
      <c r="E59" s="124"/>
      <c r="F59" s="124">
        <v>0</v>
      </c>
      <c r="G59" s="124"/>
      <c r="H59" s="124">
        <v>2738037</v>
      </c>
      <c r="I59" s="124"/>
      <c r="J59" s="124">
        <v>0</v>
      </c>
    </row>
    <row r="60" spans="1:11" ht="21.75" customHeight="1">
      <c r="A60" s="112" t="s">
        <v>231</v>
      </c>
      <c r="B60" s="120"/>
      <c r="D60" s="124"/>
      <c r="E60" s="124"/>
      <c r="F60" s="124"/>
      <c r="G60" s="124"/>
      <c r="H60" s="124"/>
      <c r="I60" s="124"/>
      <c r="J60" s="124"/>
    </row>
    <row r="61" spans="1:11" ht="21.75" customHeight="1">
      <c r="A61" s="112" t="s">
        <v>274</v>
      </c>
      <c r="B61" s="120"/>
      <c r="D61" s="124"/>
      <c r="E61" s="124"/>
      <c r="F61" s="124"/>
      <c r="G61" s="124"/>
      <c r="H61" s="124"/>
      <c r="I61" s="124"/>
      <c r="J61" s="124"/>
    </row>
    <row r="62" spans="1:11" ht="21.75" customHeight="1">
      <c r="A62" s="112" t="s">
        <v>275</v>
      </c>
      <c r="B62" s="120"/>
      <c r="D62" s="124">
        <v>1574774</v>
      </c>
      <c r="E62" s="124">
        <v>0</v>
      </c>
      <c r="F62" s="124">
        <v>15117318</v>
      </c>
      <c r="G62" s="124">
        <v>0</v>
      </c>
      <c r="H62" s="124">
        <v>0</v>
      </c>
      <c r="I62" s="124">
        <v>0</v>
      </c>
      <c r="J62" s="124">
        <v>0</v>
      </c>
      <c r="K62" s="141"/>
    </row>
    <row r="63" spans="1:11" ht="21.75" customHeight="1">
      <c r="A63" s="112" t="s">
        <v>272</v>
      </c>
      <c r="B63" s="120">
        <v>16</v>
      </c>
      <c r="D63" s="140">
        <v>97987931</v>
      </c>
      <c r="E63" s="124">
        <v>0</v>
      </c>
      <c r="F63" s="140">
        <v>7089652</v>
      </c>
      <c r="G63" s="124">
        <v>0</v>
      </c>
      <c r="H63" s="140">
        <v>0</v>
      </c>
      <c r="I63" s="124">
        <v>0</v>
      </c>
      <c r="J63" s="140">
        <v>0</v>
      </c>
    </row>
    <row r="64" spans="1:11" ht="21.75" customHeight="1">
      <c r="A64" s="112" t="s">
        <v>265</v>
      </c>
      <c r="B64" s="120"/>
      <c r="D64" s="124"/>
      <c r="E64" s="124"/>
      <c r="F64" s="124"/>
      <c r="G64" s="124"/>
      <c r="H64" s="124"/>
      <c r="I64" s="124"/>
      <c r="J64" s="124"/>
    </row>
    <row r="65" spans="1:10" ht="21.75" customHeight="1">
      <c r="A65" s="112" t="s">
        <v>117</v>
      </c>
      <c r="B65" s="120"/>
      <c r="D65" s="139">
        <f>SUM(D58:D63)</f>
        <v>5012283656</v>
      </c>
      <c r="E65" s="124"/>
      <c r="F65" s="139">
        <f>SUM(F58:F63)</f>
        <v>22206970</v>
      </c>
      <c r="G65" s="124"/>
      <c r="H65" s="139">
        <f>SUM(H58:H63)</f>
        <v>-15981455</v>
      </c>
      <c r="I65" s="124"/>
      <c r="J65" s="139">
        <f>SUM(J58:J63)</f>
        <v>0</v>
      </c>
    </row>
    <row r="66" spans="1:10" ht="21.75" customHeight="1">
      <c r="A66" s="107" t="s">
        <v>202</v>
      </c>
      <c r="B66" s="120"/>
      <c r="D66" s="142">
        <f>SUM(D54,D65)</f>
        <v>5004029078</v>
      </c>
      <c r="E66" s="124"/>
      <c r="F66" s="142">
        <f>SUM(F54,F65)</f>
        <v>21421914</v>
      </c>
      <c r="G66" s="124"/>
      <c r="H66" s="142">
        <f>SUM(H54,H65)</f>
        <v>-15981455</v>
      </c>
      <c r="I66" s="124"/>
      <c r="J66" s="142">
        <f>SUM(J54,J65)</f>
        <v>0</v>
      </c>
    </row>
    <row r="67" spans="1:10" ht="21.75" customHeight="1">
      <c r="A67" s="107"/>
      <c r="B67" s="120"/>
      <c r="D67" s="124"/>
      <c r="E67" s="124"/>
      <c r="F67" s="124"/>
      <c r="G67" s="124"/>
      <c r="H67" s="124"/>
      <c r="I67" s="124"/>
      <c r="J67" s="124"/>
    </row>
    <row r="68" spans="1:10" ht="21.75" customHeight="1" thickBot="1">
      <c r="A68" s="107" t="s">
        <v>203</v>
      </c>
      <c r="B68" s="120"/>
      <c r="D68" s="133">
        <f>SUM(D45,D66)</f>
        <v>5379683135</v>
      </c>
      <c r="E68" s="124"/>
      <c r="F68" s="133">
        <f>SUM(F45,F66)</f>
        <v>26694476</v>
      </c>
      <c r="G68" s="124"/>
      <c r="H68" s="133">
        <f>SUM(H45,H66)</f>
        <v>30868115</v>
      </c>
      <c r="I68" s="124"/>
      <c r="J68" s="133">
        <f>SUM(J45,J66)</f>
        <v>-95617651</v>
      </c>
    </row>
    <row r="69" spans="1:10" ht="21.75" customHeight="1" thickTop="1">
      <c r="B69" s="110"/>
      <c r="D69" s="124"/>
      <c r="E69" s="124"/>
      <c r="F69" s="124"/>
      <c r="G69" s="124"/>
      <c r="H69" s="124"/>
      <c r="I69" s="124"/>
      <c r="J69" s="124"/>
    </row>
    <row r="70" spans="1:10" ht="21.75" customHeight="1">
      <c r="A70" s="107" t="s">
        <v>204</v>
      </c>
      <c r="B70" s="110"/>
      <c r="D70" s="124"/>
      <c r="E70" s="124"/>
      <c r="F70" s="124"/>
      <c r="G70" s="124"/>
      <c r="H70" s="124"/>
      <c r="I70" s="124"/>
      <c r="J70" s="124"/>
    </row>
    <row r="71" spans="1:10" ht="21.75" customHeight="1" thickBot="1">
      <c r="A71" s="112" t="s">
        <v>71</v>
      </c>
      <c r="B71" s="110"/>
      <c r="D71" s="138">
        <f>+D68-D72</f>
        <v>5371437784</v>
      </c>
      <c r="E71" s="124">
        <v>0</v>
      </c>
      <c r="F71" s="138">
        <f>+F68-F72</f>
        <v>27320167</v>
      </c>
      <c r="G71" s="124"/>
      <c r="H71" s="133">
        <f>H68</f>
        <v>30868115</v>
      </c>
      <c r="I71" s="124"/>
      <c r="J71" s="133">
        <f>J68</f>
        <v>-95617651</v>
      </c>
    </row>
    <row r="72" spans="1:10" ht="21.75" customHeight="1" thickTop="1">
      <c r="A72" s="112" t="s">
        <v>70</v>
      </c>
      <c r="B72" s="110"/>
      <c r="D72" s="125">
        <v>8245351</v>
      </c>
      <c r="E72" s="124">
        <v>0</v>
      </c>
      <c r="F72" s="125">
        <v>-625691</v>
      </c>
      <c r="G72" s="124"/>
      <c r="H72" s="124"/>
      <c r="I72" s="124"/>
      <c r="J72" s="124"/>
    </row>
    <row r="73" spans="1:10" ht="21.75" customHeight="1" thickBot="1">
      <c r="B73" s="110"/>
      <c r="D73" s="133">
        <f>SUM(D71:D72)</f>
        <v>5379683135</v>
      </c>
      <c r="E73" s="124"/>
      <c r="F73" s="133">
        <f>SUM(F71:F72)</f>
        <v>26694476</v>
      </c>
      <c r="G73" s="124"/>
      <c r="H73" s="124"/>
      <c r="I73" s="124"/>
      <c r="J73" s="124"/>
    </row>
    <row r="74" spans="1:10" ht="21.75" customHeight="1" thickTop="1">
      <c r="B74" s="110"/>
      <c r="D74" s="124">
        <v>0</v>
      </c>
      <c r="E74" s="111"/>
      <c r="F74" s="124"/>
      <c r="G74" s="143"/>
      <c r="H74" s="124">
        <v>0</v>
      </c>
      <c r="J74" s="143"/>
    </row>
    <row r="75" spans="1:10" ht="21.75" customHeight="1">
      <c r="A75" s="112" t="s">
        <v>18</v>
      </c>
    </row>
    <row r="79" spans="1:10" ht="21.75" customHeight="1">
      <c r="E79" s="111"/>
      <c r="G79" s="111"/>
      <c r="I79" s="111"/>
    </row>
    <row r="80" spans="1:10" ht="21.75" customHeight="1">
      <c r="E80" s="111"/>
      <c r="G80" s="111"/>
      <c r="I80" s="111"/>
    </row>
    <row r="81" spans="5:9" ht="21.75" customHeight="1">
      <c r="E81" s="111"/>
      <c r="G81" s="111"/>
      <c r="I81" s="111"/>
    </row>
    <row r="82" spans="5:9" ht="21.75" customHeight="1">
      <c r="E82" s="111"/>
      <c r="G82" s="111"/>
      <c r="I82" s="111"/>
    </row>
    <row r="83" spans="5:9" ht="21.75" customHeight="1">
      <c r="E83" s="111"/>
      <c r="G83" s="111"/>
      <c r="I83" s="111"/>
    </row>
  </sheetData>
  <phoneticPr fontId="4" type="noConversion"/>
  <pageMargins left="0.78740157480314965" right="0.39370078740157483" top="0.78740157480314965" bottom="0.39370078740157483" header="0.19685039370078741" footer="0.19685039370078741"/>
  <pageSetup paperSize="9" scale="70" orientation="portrait" r:id="rId1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G36"/>
  <sheetViews>
    <sheetView showGridLines="0" topLeftCell="I1" zoomScale="175" zoomScaleNormal="175" zoomScaleSheetLayoutView="115" workbookViewId="0">
      <selection activeCell="N39" sqref="N39"/>
    </sheetView>
  </sheetViews>
  <sheetFormatPr defaultColWidth="9.28515625" defaultRowHeight="14.85" customHeight="1"/>
  <cols>
    <col min="1" max="1" width="13.28515625" style="148" customWidth="1"/>
    <col min="2" max="2" width="4.7109375" style="148" customWidth="1"/>
    <col min="3" max="3" width="6.28515625" style="148" customWidth="1"/>
    <col min="4" max="4" width="1.7109375" style="148" customWidth="1"/>
    <col min="5" max="5" width="1.28515625" style="148" customWidth="1"/>
    <col min="6" max="6" width="11" style="148" customWidth="1"/>
    <col min="7" max="7" width="1.28515625" style="148" customWidth="1"/>
    <col min="8" max="8" width="11" style="148" customWidth="1"/>
    <col min="9" max="9" width="1.28515625" style="148" customWidth="1"/>
    <col min="10" max="10" width="11" style="148" customWidth="1"/>
    <col min="11" max="11" width="1.28515625" style="148" customWidth="1"/>
    <col min="12" max="12" width="11" style="148" customWidth="1"/>
    <col min="13" max="13" width="1.28515625" style="148" customWidth="1"/>
    <col min="14" max="14" width="11" style="148" customWidth="1"/>
    <col min="15" max="15" width="1.28515625" style="148" customWidth="1"/>
    <col min="16" max="16" width="11" style="148" customWidth="1"/>
    <col min="17" max="17" width="1.28515625" style="148" customWidth="1"/>
    <col min="18" max="18" width="11" style="148" customWidth="1"/>
    <col min="19" max="19" width="1.28515625" style="148" customWidth="1"/>
    <col min="20" max="20" width="11" style="148" customWidth="1"/>
    <col min="21" max="21" width="1.28515625" style="148" customWidth="1"/>
    <col min="22" max="22" width="12" style="148" customWidth="1"/>
    <col min="23" max="23" width="1.28515625" style="148" customWidth="1"/>
    <col min="24" max="24" width="11" style="148" customWidth="1"/>
    <col min="25" max="25" width="1.28515625" style="148" customWidth="1"/>
    <col min="26" max="26" width="11" style="148" customWidth="1"/>
    <col min="27" max="27" width="1.28515625" style="148" customWidth="1"/>
    <col min="28" max="28" width="11" style="148" customWidth="1"/>
    <col min="29" max="29" width="1.28515625" style="148" customWidth="1"/>
    <col min="30" max="30" width="11" style="148" customWidth="1"/>
    <col min="31" max="31" width="1.28515625" style="148" customWidth="1"/>
    <col min="32" max="32" width="11" style="148" customWidth="1"/>
    <col min="33" max="33" width="11.42578125" style="148" bestFit="1" customWidth="1"/>
    <col min="34" max="16384" width="9.28515625" style="148"/>
  </cols>
  <sheetData>
    <row r="1" spans="1:32" s="146" customFormat="1" ht="14.85" customHeight="1">
      <c r="A1" s="146" t="s">
        <v>0</v>
      </c>
      <c r="AF1" s="147"/>
    </row>
    <row r="2" spans="1:32" s="146" customFormat="1" ht="14.85" customHeight="1">
      <c r="A2" s="146" t="s">
        <v>95</v>
      </c>
    </row>
    <row r="3" spans="1:32" s="146" customFormat="1" ht="14.85" customHeight="1">
      <c r="A3" s="146" t="s">
        <v>246</v>
      </c>
    </row>
    <row r="4" spans="1:32" ht="14.85" customHeight="1">
      <c r="AF4" s="149" t="s">
        <v>1</v>
      </c>
    </row>
    <row r="5" spans="1:32" ht="14.85" customHeight="1">
      <c r="C5" s="150"/>
      <c r="D5" s="150"/>
      <c r="E5" s="150"/>
      <c r="F5" s="185" t="s">
        <v>2</v>
      </c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</row>
    <row r="6" spans="1:32" s="150" customFormat="1" ht="14.85" customHeight="1">
      <c r="F6" s="184" t="s">
        <v>72</v>
      </c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</row>
    <row r="7" spans="1:32" s="150" customFormat="1" ht="14.85" customHeight="1">
      <c r="R7" s="184" t="s">
        <v>73</v>
      </c>
      <c r="S7" s="184"/>
      <c r="T7" s="184"/>
      <c r="U7" s="184"/>
      <c r="V7" s="184"/>
      <c r="W7" s="184"/>
      <c r="X7" s="184"/>
      <c r="Y7" s="184"/>
      <c r="Z7" s="184"/>
    </row>
    <row r="8" spans="1:32" s="150" customFormat="1" ht="14.85" customHeight="1">
      <c r="P8" s="63"/>
      <c r="R8" s="184" t="s">
        <v>74</v>
      </c>
      <c r="S8" s="184"/>
      <c r="T8" s="184"/>
      <c r="U8" s="184"/>
      <c r="V8" s="184"/>
      <c r="W8" s="184"/>
      <c r="X8" s="184"/>
    </row>
    <row r="9" spans="1:32" s="150" customFormat="1" ht="14.85" customHeight="1">
      <c r="R9" s="150" t="s">
        <v>75</v>
      </c>
    </row>
    <row r="10" spans="1:32" s="150" customFormat="1" ht="14.85" customHeight="1">
      <c r="J10" s="150" t="s">
        <v>222</v>
      </c>
      <c r="R10" s="150" t="s">
        <v>76</v>
      </c>
      <c r="V10" s="150" t="s">
        <v>234</v>
      </c>
      <c r="AD10" s="150" t="s">
        <v>99</v>
      </c>
    </row>
    <row r="11" spans="1:32" s="150" customFormat="1" ht="14.85" customHeight="1">
      <c r="J11" s="150" t="s">
        <v>221</v>
      </c>
      <c r="R11" s="150" t="s">
        <v>77</v>
      </c>
      <c r="V11" s="151" t="s">
        <v>128</v>
      </c>
      <c r="X11" s="151" t="s">
        <v>113</v>
      </c>
      <c r="Z11" s="150" t="s">
        <v>78</v>
      </c>
      <c r="AB11" s="150" t="s">
        <v>58</v>
      </c>
      <c r="AD11" s="150" t="s">
        <v>100</v>
      </c>
    </row>
    <row r="12" spans="1:32" s="150" customFormat="1" ht="14.85" customHeight="1">
      <c r="F12" s="150" t="s">
        <v>51</v>
      </c>
      <c r="J12" s="150" t="s">
        <v>220</v>
      </c>
      <c r="N12" s="183" t="s">
        <v>37</v>
      </c>
      <c r="O12" s="183"/>
      <c r="P12" s="183"/>
      <c r="R12" s="150" t="s">
        <v>79</v>
      </c>
      <c r="T12" s="150" t="s">
        <v>53</v>
      </c>
      <c r="V12" s="151" t="s">
        <v>129</v>
      </c>
      <c r="X12" s="151" t="s">
        <v>114</v>
      </c>
      <c r="Z12" s="150" t="s">
        <v>80</v>
      </c>
      <c r="AB12" s="150" t="s">
        <v>81</v>
      </c>
      <c r="AD12" s="150" t="s">
        <v>82</v>
      </c>
      <c r="AF12" s="150" t="s">
        <v>57</v>
      </c>
    </row>
    <row r="13" spans="1:32" s="150" customFormat="1" ht="14.85" customHeight="1">
      <c r="F13" s="150" t="s">
        <v>52</v>
      </c>
      <c r="J13" s="150" t="s">
        <v>219</v>
      </c>
      <c r="N13" s="150" t="s">
        <v>54</v>
      </c>
      <c r="R13" s="150" t="s">
        <v>83</v>
      </c>
      <c r="T13" s="150" t="s">
        <v>59</v>
      </c>
      <c r="V13" s="151" t="s">
        <v>130</v>
      </c>
      <c r="X13" s="151" t="s">
        <v>235</v>
      </c>
      <c r="Z13" s="150" t="s">
        <v>84</v>
      </c>
      <c r="AB13" s="150" t="s">
        <v>85</v>
      </c>
      <c r="AD13" s="150" t="s">
        <v>86</v>
      </c>
      <c r="AF13" s="150" t="s">
        <v>84</v>
      </c>
    </row>
    <row r="14" spans="1:32" s="150" customFormat="1" ht="14.85" customHeight="1">
      <c r="F14" s="152" t="s">
        <v>55</v>
      </c>
      <c r="H14" s="152" t="s">
        <v>35</v>
      </c>
      <c r="J14" s="152" t="s">
        <v>218</v>
      </c>
      <c r="L14" s="152" t="s">
        <v>36</v>
      </c>
      <c r="N14" s="152" t="s">
        <v>61</v>
      </c>
      <c r="P14" s="152" t="s">
        <v>56</v>
      </c>
      <c r="R14" s="152" t="s">
        <v>87</v>
      </c>
      <c r="T14" s="152" t="s">
        <v>60</v>
      </c>
      <c r="V14" s="152" t="s">
        <v>131</v>
      </c>
      <c r="X14" s="152" t="s">
        <v>116</v>
      </c>
      <c r="Z14" s="152" t="s">
        <v>88</v>
      </c>
      <c r="AB14" s="152" t="s">
        <v>89</v>
      </c>
      <c r="AD14" s="152" t="s">
        <v>90</v>
      </c>
      <c r="AF14" s="152" t="s">
        <v>88</v>
      </c>
    </row>
    <row r="15" spans="1:32" ht="14.85" customHeight="1">
      <c r="A15" s="146" t="s">
        <v>216</v>
      </c>
      <c r="C15" s="153"/>
      <c r="F15" s="63">
        <v>1666827010</v>
      </c>
      <c r="G15" s="64">
        <v>0</v>
      </c>
      <c r="H15" s="63">
        <v>2062460582</v>
      </c>
      <c r="I15" s="64">
        <v>0</v>
      </c>
      <c r="J15" s="154">
        <v>0</v>
      </c>
      <c r="K15" s="64"/>
      <c r="L15" s="63">
        <v>568130588</v>
      </c>
      <c r="M15" s="64">
        <v>0</v>
      </c>
      <c r="N15" s="63">
        <v>211675358</v>
      </c>
      <c r="O15" s="64">
        <v>0</v>
      </c>
      <c r="P15" s="63">
        <v>-556050684</v>
      </c>
      <c r="Q15" s="64">
        <v>0</v>
      </c>
      <c r="R15" s="63">
        <v>115240224</v>
      </c>
      <c r="S15" s="64">
        <v>0</v>
      </c>
      <c r="T15" s="63">
        <v>5450230273</v>
      </c>
      <c r="U15" s="64">
        <v>0</v>
      </c>
      <c r="V15" s="63">
        <v>191925561</v>
      </c>
      <c r="W15" s="64">
        <v>0</v>
      </c>
      <c r="X15" s="63">
        <v>-6793029</v>
      </c>
      <c r="Y15" s="64"/>
      <c r="Z15" s="63">
        <f>SUM(R15:X15)</f>
        <v>5750603029</v>
      </c>
      <c r="AA15" s="64"/>
      <c r="AB15" s="63">
        <f>SUM(F15:X15)</f>
        <v>9703645883</v>
      </c>
      <c r="AC15" s="64"/>
      <c r="AD15" s="63">
        <v>118137393</v>
      </c>
      <c r="AE15" s="64"/>
      <c r="AF15" s="63">
        <f>SUM(AB15:AD15)</f>
        <v>9821783276</v>
      </c>
    </row>
    <row r="16" spans="1:32" ht="14.85" customHeight="1">
      <c r="A16" s="155" t="s">
        <v>198</v>
      </c>
      <c r="C16" s="153"/>
      <c r="D16" s="153"/>
      <c r="E16" s="153"/>
      <c r="F16" s="154">
        <v>0</v>
      </c>
      <c r="G16" s="156"/>
      <c r="H16" s="154">
        <v>0</v>
      </c>
      <c r="I16" s="156"/>
      <c r="J16" s="154">
        <v>0</v>
      </c>
      <c r="K16" s="156"/>
      <c r="L16" s="154">
        <v>0</v>
      </c>
      <c r="M16" s="156"/>
      <c r="N16" s="154">
        <v>0</v>
      </c>
      <c r="O16" s="157"/>
      <c r="P16" s="50">
        <v>7106270</v>
      </c>
      <c r="Q16" s="158"/>
      <c r="R16" s="14">
        <v>0</v>
      </c>
      <c r="S16" s="159"/>
      <c r="T16" s="159">
        <v>0</v>
      </c>
      <c r="U16" s="157"/>
      <c r="V16" s="157">
        <v>0</v>
      </c>
      <c r="W16" s="157"/>
      <c r="X16" s="157">
        <v>0</v>
      </c>
      <c r="Y16" s="157"/>
      <c r="Z16" s="157">
        <f t="shared" ref="Z16:Z23" si="0">SUM(R16:X16)</f>
        <v>0</v>
      </c>
      <c r="AA16" s="158"/>
      <c r="AB16" s="157">
        <f t="shared" ref="AB16:AB23" si="1">SUM(F16:X16)</f>
        <v>7106270</v>
      </c>
      <c r="AC16" s="158"/>
      <c r="AD16" s="50">
        <v>-1833708</v>
      </c>
      <c r="AE16" s="158"/>
      <c r="AF16" s="14">
        <f t="shared" ref="AF16:AF23" si="2">SUM(AB16:AD16)</f>
        <v>5272562</v>
      </c>
    </row>
    <row r="17" spans="1:33" ht="14.85" customHeight="1">
      <c r="A17" s="148" t="s">
        <v>202</v>
      </c>
      <c r="C17" s="153"/>
      <c r="D17" s="153"/>
      <c r="E17" s="153"/>
      <c r="F17" s="160">
        <v>0</v>
      </c>
      <c r="G17" s="157"/>
      <c r="H17" s="160">
        <v>0</v>
      </c>
      <c r="I17" s="157"/>
      <c r="J17" s="160">
        <v>0</v>
      </c>
      <c r="K17" s="157"/>
      <c r="L17" s="160">
        <v>0</v>
      </c>
      <c r="M17" s="157"/>
      <c r="N17" s="160">
        <v>0</v>
      </c>
      <c r="O17" s="157"/>
      <c r="P17" s="15">
        <v>0</v>
      </c>
      <c r="Q17" s="158"/>
      <c r="R17" s="15">
        <v>9029264</v>
      </c>
      <c r="S17" s="159"/>
      <c r="T17" s="160">
        <v>0</v>
      </c>
      <c r="U17" s="157"/>
      <c r="V17" s="15">
        <v>15117318</v>
      </c>
      <c r="W17" s="157"/>
      <c r="X17" s="15">
        <v>-3932685</v>
      </c>
      <c r="Y17" s="157"/>
      <c r="Z17" s="161">
        <f t="shared" si="0"/>
        <v>20213897</v>
      </c>
      <c r="AA17" s="158"/>
      <c r="AB17" s="161">
        <f t="shared" si="1"/>
        <v>20213897</v>
      </c>
      <c r="AC17" s="158"/>
      <c r="AD17" s="161">
        <v>1208017</v>
      </c>
      <c r="AE17" s="158"/>
      <c r="AF17" s="15">
        <f t="shared" si="2"/>
        <v>21421914</v>
      </c>
    </row>
    <row r="18" spans="1:33" ht="14.85" customHeight="1">
      <c r="A18" s="148" t="s">
        <v>212</v>
      </c>
      <c r="F18" s="159">
        <v>0</v>
      </c>
      <c r="G18" s="157"/>
      <c r="H18" s="159">
        <v>0</v>
      </c>
      <c r="I18" s="157"/>
      <c r="J18" s="159">
        <v>0</v>
      </c>
      <c r="K18" s="157"/>
      <c r="L18" s="159">
        <f>SUM(L16:L17)</f>
        <v>0</v>
      </c>
      <c r="M18" s="157"/>
      <c r="N18" s="159">
        <f>SUM(N16:N17)</f>
        <v>0</v>
      </c>
      <c r="O18" s="157"/>
      <c r="P18" s="159">
        <f>SUM(P16:P17)</f>
        <v>7106270</v>
      </c>
      <c r="Q18" s="158"/>
      <c r="R18" s="159">
        <f>SUM(R16:R17)</f>
        <v>9029264</v>
      </c>
      <c r="S18" s="159"/>
      <c r="T18" s="159">
        <f>SUM(T16:T17)</f>
        <v>0</v>
      </c>
      <c r="U18" s="157"/>
      <c r="V18" s="159">
        <f>SUM(V16:V17)</f>
        <v>15117318</v>
      </c>
      <c r="W18" s="157"/>
      <c r="X18" s="159">
        <f>SUM(X16:X17)</f>
        <v>-3932685</v>
      </c>
      <c r="Y18" s="157"/>
      <c r="Z18" s="159">
        <f t="shared" si="0"/>
        <v>20213897</v>
      </c>
      <c r="AA18" s="157"/>
      <c r="AB18" s="159">
        <f t="shared" si="1"/>
        <v>27320167</v>
      </c>
      <c r="AC18" s="158"/>
      <c r="AD18" s="159">
        <f>SUM(AD16:AD17)</f>
        <v>-625691</v>
      </c>
      <c r="AE18" s="158"/>
      <c r="AF18" s="159">
        <f t="shared" si="2"/>
        <v>26694476</v>
      </c>
      <c r="AG18" s="162">
        <f>SUM(AF16:AF17)-AF18</f>
        <v>0</v>
      </c>
    </row>
    <row r="19" spans="1:33" ht="14.85" customHeight="1">
      <c r="A19" s="148" t="s">
        <v>223</v>
      </c>
      <c r="B19" s="163"/>
      <c r="C19" s="163"/>
      <c r="D19" s="153"/>
      <c r="E19" s="153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8"/>
      <c r="AD19" s="157"/>
      <c r="AE19" s="158"/>
      <c r="AF19" s="157"/>
    </row>
    <row r="20" spans="1:33" ht="14.85" customHeight="1">
      <c r="A20" s="148" t="s">
        <v>225</v>
      </c>
      <c r="B20" s="163"/>
      <c r="C20" s="163"/>
      <c r="D20" s="153"/>
      <c r="E20" s="153"/>
      <c r="F20" s="157">
        <v>0</v>
      </c>
      <c r="G20" s="157"/>
      <c r="H20" s="157">
        <v>0</v>
      </c>
      <c r="I20" s="157"/>
      <c r="J20" s="157">
        <v>-7372391</v>
      </c>
      <c r="K20" s="157"/>
      <c r="L20" s="157">
        <v>0</v>
      </c>
      <c r="M20" s="157"/>
      <c r="N20" s="157">
        <v>0</v>
      </c>
      <c r="O20" s="157"/>
      <c r="P20" s="157">
        <v>0</v>
      </c>
      <c r="Q20" s="157"/>
      <c r="R20" s="157">
        <v>0</v>
      </c>
      <c r="S20" s="157"/>
      <c r="T20" s="157">
        <v>0</v>
      </c>
      <c r="U20" s="157"/>
      <c r="V20" s="157">
        <v>0</v>
      </c>
      <c r="W20" s="157"/>
      <c r="X20" s="157">
        <v>0</v>
      </c>
      <c r="Y20" s="157"/>
      <c r="Z20" s="157">
        <f t="shared" si="0"/>
        <v>0</v>
      </c>
      <c r="AA20" s="157"/>
      <c r="AB20" s="157">
        <f>SUM(F20:P20)</f>
        <v>-7372391</v>
      </c>
      <c r="AC20" s="158"/>
      <c r="AD20" s="157">
        <f>-AB20</f>
        <v>7372391</v>
      </c>
      <c r="AE20" s="158"/>
      <c r="AF20" s="157">
        <f t="shared" ref="AF20" si="3">SUM(AB20:AD20)</f>
        <v>0</v>
      </c>
    </row>
    <row r="21" spans="1:33" ht="14.85" customHeight="1">
      <c r="A21" s="155" t="s">
        <v>287</v>
      </c>
      <c r="C21" s="153"/>
      <c r="D21" s="153"/>
      <c r="E21" s="153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8"/>
      <c r="AD21" s="156"/>
      <c r="AE21" s="158"/>
      <c r="AF21" s="157"/>
    </row>
    <row r="22" spans="1:33" s="155" customFormat="1" ht="14.85" customHeight="1">
      <c r="A22" s="155" t="s">
        <v>288</v>
      </c>
      <c r="C22" s="164"/>
      <c r="D22" s="164"/>
      <c r="E22" s="164"/>
      <c r="F22" s="156">
        <v>0</v>
      </c>
      <c r="G22" s="156"/>
      <c r="H22" s="156">
        <v>0</v>
      </c>
      <c r="I22" s="156"/>
      <c r="J22" s="156">
        <v>0</v>
      </c>
      <c r="K22" s="156"/>
      <c r="L22" s="156">
        <v>0</v>
      </c>
      <c r="M22" s="156"/>
      <c r="N22" s="156">
        <v>0</v>
      </c>
      <c r="O22" s="156"/>
      <c r="P22" s="156">
        <v>55041411</v>
      </c>
      <c r="Q22" s="156"/>
      <c r="R22" s="156">
        <v>0</v>
      </c>
      <c r="S22" s="156"/>
      <c r="T22" s="156">
        <v>-55041411</v>
      </c>
      <c r="U22" s="156"/>
      <c r="V22" s="156">
        <v>0</v>
      </c>
      <c r="W22" s="156"/>
      <c r="X22" s="156">
        <v>0</v>
      </c>
      <c r="Y22" s="156"/>
      <c r="Z22" s="156">
        <f t="shared" si="0"/>
        <v>-55041411</v>
      </c>
      <c r="AA22" s="156"/>
      <c r="AB22" s="156">
        <f t="shared" si="1"/>
        <v>0</v>
      </c>
      <c r="AC22" s="165"/>
      <c r="AD22" s="156">
        <v>0</v>
      </c>
      <c r="AE22" s="165"/>
      <c r="AF22" s="156">
        <f t="shared" si="2"/>
        <v>0</v>
      </c>
    </row>
    <row r="23" spans="1:33" ht="14.85" customHeight="1" thickBot="1">
      <c r="A23" s="146" t="s">
        <v>217</v>
      </c>
      <c r="F23" s="166">
        <f>SUM(F18:F22,F15)</f>
        <v>1666827010</v>
      </c>
      <c r="G23" s="158"/>
      <c r="H23" s="166">
        <f>SUM(H18:H22,H15)</f>
        <v>2062460582</v>
      </c>
      <c r="I23" s="158"/>
      <c r="J23" s="166">
        <f>SUM(J18:J22,J15)</f>
        <v>-7372391</v>
      </c>
      <c r="K23" s="158"/>
      <c r="L23" s="166">
        <f>SUM(L18:L22,L15)</f>
        <v>568130588</v>
      </c>
      <c r="M23" s="158"/>
      <c r="N23" s="166">
        <f>SUM(N18:N22,N15)</f>
        <v>211675358</v>
      </c>
      <c r="O23" s="158"/>
      <c r="P23" s="166">
        <f>SUM(P18:P22,P15)</f>
        <v>-493903003</v>
      </c>
      <c r="Q23" s="158"/>
      <c r="R23" s="166">
        <f>SUM(R18:R22,R15)</f>
        <v>124269488</v>
      </c>
      <c r="S23" s="158"/>
      <c r="T23" s="166">
        <f>SUM(T18:T22,T15)</f>
        <v>5395188862</v>
      </c>
      <c r="U23" s="158"/>
      <c r="V23" s="166">
        <f>SUM(V18:V22,V15)</f>
        <v>207042879</v>
      </c>
      <c r="W23" s="158"/>
      <c r="X23" s="166">
        <f>SUM(X18:X22,X15)</f>
        <v>-10725714</v>
      </c>
      <c r="Y23" s="158"/>
      <c r="Z23" s="166">
        <f t="shared" si="0"/>
        <v>5715775515</v>
      </c>
      <c r="AA23" s="158"/>
      <c r="AB23" s="166">
        <f t="shared" si="1"/>
        <v>9723593659</v>
      </c>
      <c r="AC23" s="158"/>
      <c r="AD23" s="166">
        <f>SUM(AD18:AD22,AD15)</f>
        <v>124884093</v>
      </c>
      <c r="AE23" s="158"/>
      <c r="AF23" s="166">
        <f t="shared" si="2"/>
        <v>9848477752</v>
      </c>
    </row>
    <row r="24" spans="1:33" ht="14.85" customHeight="1" thickTop="1">
      <c r="A24" s="146"/>
      <c r="C24" s="153"/>
      <c r="D24" s="147"/>
      <c r="E24" s="162"/>
      <c r="F24" s="157"/>
      <c r="G24" s="158"/>
      <c r="H24" s="157"/>
      <c r="I24" s="158"/>
      <c r="J24" s="157"/>
      <c r="K24" s="158"/>
      <c r="L24" s="157"/>
      <c r="M24" s="158"/>
      <c r="N24" s="157"/>
      <c r="O24" s="158"/>
      <c r="P24" s="157"/>
      <c r="Q24" s="158"/>
      <c r="R24" s="157"/>
      <c r="S24" s="157"/>
      <c r="T24" s="157"/>
      <c r="U24" s="158"/>
      <c r="V24" s="158"/>
      <c r="W24" s="158"/>
      <c r="X24" s="158"/>
      <c r="Y24" s="158"/>
      <c r="Z24" s="157"/>
      <c r="AA24" s="158"/>
      <c r="AB24" s="158"/>
      <c r="AC24" s="158"/>
      <c r="AD24" s="157"/>
      <c r="AE24" s="158"/>
      <c r="AF24" s="167"/>
    </row>
    <row r="25" spans="1:33" ht="14.85" customHeight="1">
      <c r="A25" s="146" t="s">
        <v>247</v>
      </c>
      <c r="C25" s="153"/>
      <c r="F25" s="63">
        <f>F23</f>
        <v>1666827010</v>
      </c>
      <c r="G25" s="63">
        <f t="shared" ref="G25:AA25" si="4">G23</f>
        <v>0</v>
      </c>
      <c r="H25" s="63">
        <f t="shared" si="4"/>
        <v>2062460582</v>
      </c>
      <c r="I25" s="63">
        <f t="shared" si="4"/>
        <v>0</v>
      </c>
      <c r="J25" s="63">
        <f t="shared" si="4"/>
        <v>-7372391</v>
      </c>
      <c r="K25" s="63"/>
      <c r="L25" s="63">
        <f t="shared" si="4"/>
        <v>568130588</v>
      </c>
      <c r="M25" s="63">
        <f t="shared" si="4"/>
        <v>0</v>
      </c>
      <c r="N25" s="63">
        <f t="shared" si="4"/>
        <v>211675358</v>
      </c>
      <c r="O25" s="63">
        <f t="shared" si="4"/>
        <v>0</v>
      </c>
      <c r="P25" s="63">
        <f t="shared" si="4"/>
        <v>-493903003</v>
      </c>
      <c r="Q25" s="63">
        <f t="shared" si="4"/>
        <v>0</v>
      </c>
      <c r="R25" s="63">
        <f t="shared" si="4"/>
        <v>124269488</v>
      </c>
      <c r="S25" s="63">
        <f t="shared" si="4"/>
        <v>0</v>
      </c>
      <c r="T25" s="63">
        <f t="shared" si="4"/>
        <v>5395188862</v>
      </c>
      <c r="U25" s="63">
        <f t="shared" si="4"/>
        <v>0</v>
      </c>
      <c r="V25" s="63">
        <f t="shared" si="4"/>
        <v>207042879</v>
      </c>
      <c r="W25" s="63">
        <f t="shared" si="4"/>
        <v>0</v>
      </c>
      <c r="X25" s="63">
        <f t="shared" si="4"/>
        <v>-10725714</v>
      </c>
      <c r="Y25" s="63">
        <f t="shared" si="4"/>
        <v>0</v>
      </c>
      <c r="Z25" s="63">
        <f t="shared" si="4"/>
        <v>5715775515</v>
      </c>
      <c r="AA25" s="63">
        <f t="shared" si="4"/>
        <v>0</v>
      </c>
      <c r="AB25" s="63">
        <f t="shared" ref="AB25:AB31" si="5">SUM(F25:X25)</f>
        <v>9723593659</v>
      </c>
      <c r="AC25" s="64"/>
      <c r="AD25" s="63">
        <f>AD23</f>
        <v>124884093</v>
      </c>
      <c r="AE25" s="64"/>
      <c r="AF25" s="63">
        <f>SUM(AB25:AD25)</f>
        <v>9848477752</v>
      </c>
    </row>
    <row r="26" spans="1:33" s="155" customFormat="1" ht="14.85" customHeight="1">
      <c r="A26" s="155" t="s">
        <v>263</v>
      </c>
      <c r="C26" s="164"/>
      <c r="D26" s="164"/>
      <c r="E26" s="164"/>
      <c r="F26" s="154">
        <v>0</v>
      </c>
      <c r="G26" s="156"/>
      <c r="H26" s="154">
        <v>0</v>
      </c>
      <c r="I26" s="156"/>
      <c r="J26" s="154">
        <v>0</v>
      </c>
      <c r="K26" s="156"/>
      <c r="L26" s="154">
        <v>0</v>
      </c>
      <c r="M26" s="156"/>
      <c r="N26" s="154">
        <v>0</v>
      </c>
      <c r="O26" s="156"/>
      <c r="P26" s="50">
        <f>+pl!D29</f>
        <v>367638850</v>
      </c>
      <c r="Q26" s="165"/>
      <c r="R26" s="50">
        <v>0</v>
      </c>
      <c r="S26" s="154"/>
      <c r="T26" s="154">
        <v>0</v>
      </c>
      <c r="U26" s="156"/>
      <c r="V26" s="156">
        <v>0</v>
      </c>
      <c r="W26" s="156"/>
      <c r="X26" s="156">
        <v>0</v>
      </c>
      <c r="Y26" s="156"/>
      <c r="Z26" s="156">
        <f t="shared" ref="Z26:Z28" si="6">SUM(R26:X26)</f>
        <v>0</v>
      </c>
      <c r="AA26" s="165"/>
      <c r="AB26" s="156">
        <f t="shared" si="5"/>
        <v>367638850</v>
      </c>
      <c r="AC26" s="165"/>
      <c r="AD26" s="50">
        <f>+pl!D30</f>
        <v>8015207</v>
      </c>
      <c r="AE26" s="165"/>
      <c r="AF26" s="156">
        <f t="shared" ref="AF26:AF31" si="7">SUM(AB26:AD26)</f>
        <v>375654057</v>
      </c>
      <c r="AG26" s="168">
        <f>AF26-pl!D26</f>
        <v>0</v>
      </c>
    </row>
    <row r="27" spans="1:33" ht="14.85" customHeight="1">
      <c r="A27" s="148" t="s">
        <v>202</v>
      </c>
      <c r="C27" s="153"/>
      <c r="D27" s="153"/>
      <c r="E27" s="153"/>
      <c r="F27" s="160">
        <v>0</v>
      </c>
      <c r="G27" s="157"/>
      <c r="H27" s="160">
        <v>0</v>
      </c>
      <c r="I27" s="157"/>
      <c r="J27" s="160">
        <v>0</v>
      </c>
      <c r="K27" s="157"/>
      <c r="L27" s="160">
        <v>0</v>
      </c>
      <c r="M27" s="157"/>
      <c r="N27" s="160">
        <v>0</v>
      </c>
      <c r="O27" s="157"/>
      <c r="P27" s="15">
        <f>+pl!D58</f>
        <v>-32218539</v>
      </c>
      <c r="Q27" s="157"/>
      <c r="R27" s="15">
        <v>-5357019</v>
      </c>
      <c r="S27" s="157"/>
      <c r="T27" s="161">
        <v>4944939490</v>
      </c>
      <c r="U27" s="157"/>
      <c r="V27" s="15">
        <f>+pl!D62</f>
        <v>1574774</v>
      </c>
      <c r="W27" s="157"/>
      <c r="X27" s="15">
        <f>+pl!D52+pl!D63</f>
        <v>94860228</v>
      </c>
      <c r="Y27" s="157"/>
      <c r="Z27" s="161">
        <f>SUM(R27:X27)</f>
        <v>5036017473</v>
      </c>
      <c r="AA27" s="157"/>
      <c r="AB27" s="161">
        <f t="shared" si="5"/>
        <v>5003798934</v>
      </c>
      <c r="AC27" s="157"/>
      <c r="AD27" s="161">
        <v>230144</v>
      </c>
      <c r="AE27" s="157"/>
      <c r="AF27" s="161">
        <f t="shared" si="7"/>
        <v>5004029078</v>
      </c>
      <c r="AG27" s="162"/>
    </row>
    <row r="28" spans="1:33" ht="14.85" customHeight="1">
      <c r="A28" s="148" t="s">
        <v>203</v>
      </c>
      <c r="F28" s="159">
        <f>SUM(F26:F27)</f>
        <v>0</v>
      </c>
      <c r="G28" s="157"/>
      <c r="H28" s="159">
        <f>SUM(H26:H27)</f>
        <v>0</v>
      </c>
      <c r="I28" s="157"/>
      <c r="J28" s="159">
        <f>SUM(J26:J27)</f>
        <v>0</v>
      </c>
      <c r="K28" s="157"/>
      <c r="L28" s="159">
        <f>SUM(L26:L27)</f>
        <v>0</v>
      </c>
      <c r="M28" s="157"/>
      <c r="N28" s="159">
        <f>SUM(N26:N27)</f>
        <v>0</v>
      </c>
      <c r="O28" s="157"/>
      <c r="P28" s="159">
        <f>SUM(P26:P27)</f>
        <v>335420311</v>
      </c>
      <c r="Q28" s="159"/>
      <c r="R28" s="159">
        <f>SUM(R26:R27)</f>
        <v>-5357019</v>
      </c>
      <c r="S28" s="159"/>
      <c r="T28" s="159">
        <f>SUM(T26:T27)</f>
        <v>4944939490</v>
      </c>
      <c r="U28" s="159"/>
      <c r="V28" s="159">
        <f>SUM(V26:V27)</f>
        <v>1574774</v>
      </c>
      <c r="W28" s="159"/>
      <c r="X28" s="159">
        <f>SUM(X26:X27)</f>
        <v>94860228</v>
      </c>
      <c r="Y28" s="159"/>
      <c r="Z28" s="159">
        <f t="shared" si="6"/>
        <v>5036017473</v>
      </c>
      <c r="AA28" s="159"/>
      <c r="AB28" s="159">
        <f t="shared" si="5"/>
        <v>5371437784</v>
      </c>
      <c r="AC28" s="159"/>
      <c r="AD28" s="159">
        <f>SUM(AD26:AD27)</f>
        <v>8245351</v>
      </c>
      <c r="AE28" s="159"/>
      <c r="AF28" s="159">
        <f>SUM(AB28:AD28)</f>
        <v>5379683135</v>
      </c>
      <c r="AG28" s="162">
        <f>SUM(AF26:AF27)-AF28</f>
        <v>0</v>
      </c>
    </row>
    <row r="29" spans="1:33" ht="14.85" customHeight="1">
      <c r="A29" s="155" t="s">
        <v>289</v>
      </c>
      <c r="B29" s="163"/>
      <c r="C29" s="163"/>
      <c r="D29" s="153"/>
      <c r="E29" s="153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6"/>
      <c r="AC29" s="158"/>
      <c r="AD29" s="157"/>
      <c r="AE29" s="158"/>
      <c r="AF29" s="157"/>
    </row>
    <row r="30" spans="1:33" s="155" customFormat="1" ht="14.85" customHeight="1">
      <c r="A30" s="155" t="s">
        <v>288</v>
      </c>
      <c r="C30" s="164"/>
      <c r="D30" s="164"/>
      <c r="E30" s="164"/>
      <c r="F30" s="156">
        <v>0</v>
      </c>
      <c r="G30" s="156"/>
      <c r="H30" s="156">
        <v>0</v>
      </c>
      <c r="I30" s="156"/>
      <c r="J30" s="156">
        <v>0</v>
      </c>
      <c r="K30" s="156"/>
      <c r="L30" s="156">
        <v>0</v>
      </c>
      <c r="M30" s="156"/>
      <c r="N30" s="156">
        <v>0</v>
      </c>
      <c r="O30" s="156"/>
      <c r="P30" s="156">
        <v>53422360</v>
      </c>
      <c r="Q30" s="156"/>
      <c r="R30" s="156">
        <v>0</v>
      </c>
      <c r="S30" s="156"/>
      <c r="T30" s="156">
        <f>-P30</f>
        <v>-53422360</v>
      </c>
      <c r="U30" s="156"/>
      <c r="V30" s="156">
        <v>0</v>
      </c>
      <c r="W30" s="156"/>
      <c r="X30" s="156">
        <v>0</v>
      </c>
      <c r="Y30" s="156"/>
      <c r="Z30" s="157">
        <f>SUM(R30:X30)</f>
        <v>-53422360</v>
      </c>
      <c r="AA30" s="156"/>
      <c r="AB30" s="157">
        <f t="shared" si="5"/>
        <v>0</v>
      </c>
      <c r="AC30" s="165"/>
      <c r="AD30" s="156">
        <v>0</v>
      </c>
      <c r="AE30" s="165"/>
      <c r="AF30" s="157">
        <f t="shared" si="7"/>
        <v>0</v>
      </c>
    </row>
    <row r="31" spans="1:33" ht="14.85" customHeight="1" thickBot="1">
      <c r="A31" s="146" t="s">
        <v>248</v>
      </c>
      <c r="F31" s="166">
        <f>SUM(F25,F28:F30)</f>
        <v>1666827010</v>
      </c>
      <c r="G31" s="158"/>
      <c r="H31" s="166">
        <f>SUM(H25,H28:H30)</f>
        <v>2062460582</v>
      </c>
      <c r="I31" s="158"/>
      <c r="J31" s="166">
        <f>SUM(J25,J28:J30)</f>
        <v>-7372391</v>
      </c>
      <c r="K31" s="158"/>
      <c r="L31" s="166">
        <f>SUM(L25,L28:L30)</f>
        <v>568130588</v>
      </c>
      <c r="M31" s="158"/>
      <c r="N31" s="166">
        <f>SUM(N25,N28:N30)</f>
        <v>211675358</v>
      </c>
      <c r="O31" s="158"/>
      <c r="P31" s="166">
        <f>SUM(P25,P28:P30)</f>
        <v>-105060332</v>
      </c>
      <c r="Q31" s="158"/>
      <c r="R31" s="166">
        <f>SUM(R25,R28:R30)</f>
        <v>118912469</v>
      </c>
      <c r="S31" s="157"/>
      <c r="T31" s="166">
        <f>SUM(T25,T28:T30)</f>
        <v>10286705992</v>
      </c>
      <c r="U31" s="158"/>
      <c r="V31" s="166">
        <f>SUM(V25,V28:V30)</f>
        <v>208617653</v>
      </c>
      <c r="W31" s="158"/>
      <c r="X31" s="166">
        <f>SUM(X25,X28:X30)</f>
        <v>84134514</v>
      </c>
      <c r="Y31" s="158"/>
      <c r="Z31" s="166">
        <f>SUM(R31:X31)</f>
        <v>10698370628</v>
      </c>
      <c r="AA31" s="158"/>
      <c r="AB31" s="166">
        <f t="shared" si="5"/>
        <v>15095031443</v>
      </c>
      <c r="AC31" s="158"/>
      <c r="AD31" s="166">
        <f>SUM(AD25,AD28:AD30)</f>
        <v>133129444</v>
      </c>
      <c r="AE31" s="158"/>
      <c r="AF31" s="166">
        <f t="shared" si="7"/>
        <v>15228160887</v>
      </c>
      <c r="AG31" s="162">
        <f>SUM(AF28:AF30,AF25)-AF31</f>
        <v>0</v>
      </c>
    </row>
    <row r="32" spans="1:33" ht="14.85" customHeight="1" thickTop="1">
      <c r="A32" s="146"/>
      <c r="F32" s="157">
        <f>F23-bs!F76</f>
        <v>0</v>
      </c>
      <c r="G32" s="158"/>
      <c r="H32" s="157">
        <f>H23-bs!F77</f>
        <v>0</v>
      </c>
      <c r="I32" s="158"/>
      <c r="J32" s="157"/>
      <c r="K32" s="158"/>
      <c r="L32" s="157">
        <f>L23-bs!F80</f>
        <v>0</v>
      </c>
      <c r="M32" s="158"/>
      <c r="N32" s="157">
        <f>N23-bs!F82</f>
        <v>0</v>
      </c>
      <c r="O32" s="158"/>
      <c r="P32" s="157">
        <f>P23-bs!F83</f>
        <v>0</v>
      </c>
      <c r="Q32" s="158"/>
      <c r="R32" s="157"/>
      <c r="S32" s="157"/>
      <c r="T32" s="157"/>
      <c r="U32" s="158"/>
      <c r="V32" s="157"/>
      <c r="W32" s="158"/>
      <c r="X32" s="157"/>
      <c r="Y32" s="158"/>
      <c r="Z32" s="157">
        <f>Z23-bs!F84</f>
        <v>0</v>
      </c>
      <c r="AA32" s="158"/>
      <c r="AB32" s="157">
        <f>AB23-bs!F85</f>
        <v>0</v>
      </c>
      <c r="AC32" s="158"/>
      <c r="AD32" s="157">
        <f>AD23-bs!F87</f>
        <v>0</v>
      </c>
      <c r="AE32" s="158"/>
      <c r="AF32" s="157">
        <f>AF23-bs!F88</f>
        <v>0</v>
      </c>
    </row>
    <row r="33" spans="1:32" ht="14.65" customHeight="1">
      <c r="F33" s="157">
        <f>bs!D76-F31</f>
        <v>0</v>
      </c>
      <c r="G33" s="158"/>
      <c r="H33" s="157">
        <f>H31-bs!D77</f>
        <v>0</v>
      </c>
      <c r="I33" s="158"/>
      <c r="J33" s="157">
        <f>+J31-bs!D79</f>
        <v>0</v>
      </c>
      <c r="K33" s="158"/>
      <c r="L33" s="157">
        <f>L31-bs!D80</f>
        <v>0</v>
      </c>
      <c r="M33" s="158"/>
      <c r="N33" s="157">
        <f>N31-bs!D82</f>
        <v>0</v>
      </c>
      <c r="O33" s="158"/>
      <c r="P33" s="157">
        <f>SUM(P31-bs!D83)</f>
        <v>0</v>
      </c>
      <c r="Q33" s="158"/>
      <c r="R33" s="157"/>
      <c r="S33" s="157"/>
      <c r="T33" s="157"/>
      <c r="U33" s="158"/>
      <c r="V33" s="158"/>
      <c r="W33" s="158"/>
      <c r="X33" s="158"/>
      <c r="Y33" s="158"/>
      <c r="Z33" s="157">
        <f>SUM(Z31-bs!D84)</f>
        <v>0</v>
      </c>
      <c r="AA33" s="157"/>
      <c r="AB33" s="157">
        <f>AB31-bs!D85</f>
        <v>0</v>
      </c>
      <c r="AC33" s="157"/>
      <c r="AD33" s="157">
        <f>AD31-bs!D87</f>
        <v>0</v>
      </c>
      <c r="AE33" s="157"/>
      <c r="AF33" s="157">
        <f>AF31-bs!D88</f>
        <v>0</v>
      </c>
    </row>
    <row r="34" spans="1:32" ht="14.85" customHeight="1">
      <c r="A34" s="148" t="s">
        <v>18</v>
      </c>
      <c r="F34" s="157"/>
      <c r="G34" s="158"/>
      <c r="H34" s="157"/>
      <c r="I34" s="158"/>
      <c r="J34" s="158"/>
      <c r="K34" s="158"/>
      <c r="L34" s="157"/>
      <c r="M34" s="158"/>
      <c r="N34" s="157"/>
      <c r="O34" s="158"/>
      <c r="P34" s="157"/>
      <c r="Q34" s="158"/>
      <c r="R34" s="157"/>
      <c r="S34" s="157"/>
      <c r="T34" s="157"/>
      <c r="U34" s="158"/>
      <c r="V34" s="158"/>
      <c r="W34" s="158"/>
      <c r="X34" s="158"/>
      <c r="Y34" s="158"/>
      <c r="Z34" s="157"/>
      <c r="AA34" s="158"/>
      <c r="AB34" s="157"/>
      <c r="AC34" s="158"/>
      <c r="AD34" s="157"/>
      <c r="AE34" s="158"/>
      <c r="AF34" s="157"/>
    </row>
    <row r="36" spans="1:32" ht="14.85" customHeight="1">
      <c r="R36" s="169"/>
    </row>
  </sheetData>
  <mergeCells count="5">
    <mergeCell ref="N12:P12"/>
    <mergeCell ref="R8:X8"/>
    <mergeCell ref="F5:AF5"/>
    <mergeCell ref="F6:AB6"/>
    <mergeCell ref="R7:Z7"/>
  </mergeCells>
  <phoneticPr fontId="4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7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T24"/>
  <sheetViews>
    <sheetView showGridLines="0" zoomScale="115" zoomScaleNormal="115" zoomScaleSheetLayoutView="115" workbookViewId="0">
      <selection activeCell="B4" sqref="B4"/>
    </sheetView>
  </sheetViews>
  <sheetFormatPr defaultColWidth="9.28515625" defaultRowHeight="18.75" customHeight="1"/>
  <cols>
    <col min="1" max="1" width="22.5703125" style="6" customWidth="1"/>
    <col min="2" max="3" width="5.7109375" style="6" customWidth="1"/>
    <col min="4" max="4" width="9" style="6" customWidth="1"/>
    <col min="5" max="5" width="1.28515625" style="6" customWidth="1"/>
    <col min="6" max="6" width="15.7109375" style="6" customWidth="1"/>
    <col min="7" max="7" width="1.28515625" style="6" customWidth="1"/>
    <col min="8" max="8" width="15.7109375" style="6" customWidth="1"/>
    <col min="9" max="9" width="1.28515625" style="6" customWidth="1"/>
    <col min="10" max="10" width="15.7109375" style="6" customWidth="1"/>
    <col min="11" max="11" width="1.28515625" style="6" customWidth="1"/>
    <col min="12" max="12" width="15.7109375" style="6" customWidth="1"/>
    <col min="13" max="13" width="1.28515625" style="6" customWidth="1"/>
    <col min="14" max="14" width="15.7109375" style="6" customWidth="1"/>
    <col min="15" max="15" width="1.28515625" style="6" customWidth="1"/>
    <col min="16" max="16" width="15.7109375" style="6" customWidth="1"/>
    <col min="17" max="17" width="1.28515625" style="6" customWidth="1"/>
    <col min="18" max="18" width="15.7109375" style="6" customWidth="1"/>
    <col min="19" max="19" width="1.7109375" style="6" customWidth="1"/>
    <col min="20" max="20" width="11.5703125" style="6" bestFit="1" customWidth="1"/>
    <col min="21" max="16384" width="9.28515625" style="6"/>
  </cols>
  <sheetData>
    <row r="1" spans="1:20" s="4" customFormat="1" ht="18.75" customHeight="1">
      <c r="A1" s="4" t="s">
        <v>0</v>
      </c>
      <c r="R1" s="5"/>
    </row>
    <row r="2" spans="1:20" s="4" customFormat="1" ht="18.75" customHeight="1">
      <c r="A2" s="4" t="s">
        <v>93</v>
      </c>
    </row>
    <row r="3" spans="1:20" s="4" customFormat="1" ht="18.75" customHeight="1">
      <c r="A3" s="4" t="s">
        <v>246</v>
      </c>
    </row>
    <row r="4" spans="1:20" ht="18.75" customHeight="1">
      <c r="N4" s="5"/>
      <c r="O4" s="5"/>
      <c r="P4" s="5"/>
      <c r="Q4" s="5"/>
      <c r="R4" s="5" t="s">
        <v>1</v>
      </c>
      <c r="T4" s="62"/>
    </row>
    <row r="5" spans="1:20" ht="18.75" customHeight="1">
      <c r="D5" s="7"/>
      <c r="E5" s="7"/>
      <c r="F5" s="186" t="s">
        <v>3</v>
      </c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7"/>
      <c r="T5" s="7"/>
    </row>
    <row r="6" spans="1:20" ht="18.75" customHeight="1">
      <c r="D6" s="7"/>
      <c r="E6" s="7"/>
      <c r="N6" s="188" t="s">
        <v>107</v>
      </c>
      <c r="O6" s="188"/>
      <c r="P6" s="188"/>
      <c r="Q6" s="8"/>
      <c r="S6" s="7"/>
      <c r="T6" s="7"/>
    </row>
    <row r="7" spans="1:20" ht="18.75" customHeight="1">
      <c r="D7" s="7"/>
      <c r="E7" s="7"/>
      <c r="N7" s="7" t="s">
        <v>205</v>
      </c>
      <c r="O7" s="7"/>
      <c r="P7" s="9" t="s">
        <v>78</v>
      </c>
      <c r="Q7" s="8"/>
      <c r="S7" s="7"/>
      <c r="T7" s="7"/>
    </row>
    <row r="8" spans="1:20" s="7" customFormat="1" ht="18.75" customHeight="1">
      <c r="F8" s="7" t="s">
        <v>51</v>
      </c>
      <c r="J8" s="187" t="s">
        <v>37</v>
      </c>
      <c r="K8" s="187"/>
      <c r="L8" s="187"/>
      <c r="N8" s="72" t="s">
        <v>139</v>
      </c>
      <c r="P8" s="7" t="s">
        <v>110</v>
      </c>
      <c r="Q8" s="8"/>
      <c r="R8" s="7" t="s">
        <v>57</v>
      </c>
    </row>
    <row r="9" spans="1:20" s="7" customFormat="1" ht="18.75" customHeight="1">
      <c r="F9" s="7" t="s">
        <v>52</v>
      </c>
      <c r="J9" s="7" t="s">
        <v>54</v>
      </c>
      <c r="N9" s="7" t="s">
        <v>109</v>
      </c>
      <c r="P9" s="7" t="s">
        <v>84</v>
      </c>
      <c r="Q9" s="8"/>
      <c r="R9" s="7" t="s">
        <v>84</v>
      </c>
    </row>
    <row r="10" spans="1:20" s="7" customFormat="1" ht="18.75" customHeight="1">
      <c r="F10" s="72" t="s">
        <v>55</v>
      </c>
      <c r="H10" s="72" t="s">
        <v>35</v>
      </c>
      <c r="J10" s="72" t="s">
        <v>61</v>
      </c>
      <c r="L10" s="72" t="s">
        <v>56</v>
      </c>
      <c r="N10" s="100" t="s">
        <v>206</v>
      </c>
      <c r="P10" s="72" t="s">
        <v>88</v>
      </c>
      <c r="Q10" s="8"/>
      <c r="R10" s="72" t="s">
        <v>88</v>
      </c>
    </row>
    <row r="11" spans="1:20" ht="18.75" customHeight="1">
      <c r="A11" s="4" t="s">
        <v>216</v>
      </c>
      <c r="B11" s="4"/>
      <c r="F11" s="2">
        <v>1666827010</v>
      </c>
      <c r="G11" s="1">
        <v>0</v>
      </c>
      <c r="H11" s="2">
        <v>2062460582</v>
      </c>
      <c r="I11" s="1">
        <v>0</v>
      </c>
      <c r="J11" s="2">
        <v>211675358</v>
      </c>
      <c r="K11" s="1">
        <v>0</v>
      </c>
      <c r="L11" s="2">
        <v>297351924</v>
      </c>
      <c r="M11" s="1">
        <v>0</v>
      </c>
      <c r="N11" s="2">
        <v>141313392</v>
      </c>
      <c r="O11" s="1"/>
      <c r="P11" s="2">
        <v>141313392</v>
      </c>
      <c r="Q11" s="2"/>
      <c r="R11" s="2">
        <f>SUM(F11:L11,P11)</f>
        <v>4379628266</v>
      </c>
    </row>
    <row r="12" spans="1:20" ht="18.75" customHeight="1">
      <c r="A12" s="41" t="s">
        <v>136</v>
      </c>
      <c r="F12" s="2">
        <v>0</v>
      </c>
      <c r="G12" s="1"/>
      <c r="H12" s="2">
        <v>0</v>
      </c>
      <c r="I12" s="1"/>
      <c r="J12" s="2">
        <v>0</v>
      </c>
      <c r="K12" s="1"/>
      <c r="L12" s="2">
        <v>-95617651</v>
      </c>
      <c r="M12" s="1"/>
      <c r="N12" s="2">
        <v>0</v>
      </c>
      <c r="O12" s="1"/>
      <c r="P12" s="2">
        <f>SUM(N12)</f>
        <v>0</v>
      </c>
      <c r="Q12" s="2"/>
      <c r="R12" s="2">
        <f>SUM(F12:L12,P12)</f>
        <v>-95617651</v>
      </c>
    </row>
    <row r="13" spans="1:20" ht="18.75" customHeight="1">
      <c r="A13" s="6" t="s">
        <v>233</v>
      </c>
      <c r="F13" s="10">
        <v>0</v>
      </c>
      <c r="G13" s="1"/>
      <c r="H13" s="10">
        <v>0</v>
      </c>
      <c r="I13" s="1"/>
      <c r="J13" s="10">
        <v>0</v>
      </c>
      <c r="K13" s="1"/>
      <c r="L13" s="10">
        <v>0</v>
      </c>
      <c r="M13" s="1"/>
      <c r="N13" s="10">
        <v>0</v>
      </c>
      <c r="O13" s="1"/>
      <c r="P13" s="3">
        <f>SUM(N13)</f>
        <v>0</v>
      </c>
      <c r="Q13" s="11"/>
      <c r="R13" s="3">
        <f>SUM(F13:L13,P13)</f>
        <v>0</v>
      </c>
    </row>
    <row r="14" spans="1:20" ht="18.75" customHeight="1">
      <c r="A14" s="6" t="s">
        <v>212</v>
      </c>
      <c r="F14" s="11">
        <f>SUM(F12:F13)</f>
        <v>0</v>
      </c>
      <c r="G14" s="1"/>
      <c r="H14" s="11">
        <f>SUM(H12:H13)</f>
        <v>0</v>
      </c>
      <c r="I14" s="1"/>
      <c r="J14" s="11">
        <f>SUM(J12:J13)</f>
        <v>0</v>
      </c>
      <c r="K14" s="1"/>
      <c r="L14" s="11">
        <f>SUM(L12:L13)</f>
        <v>-95617651</v>
      </c>
      <c r="M14" s="1"/>
      <c r="N14" s="11">
        <f>SUM(N12:N13)</f>
        <v>0</v>
      </c>
      <c r="O14" s="1"/>
      <c r="P14" s="11">
        <f>SUM(P12:P13)</f>
        <v>0</v>
      </c>
      <c r="Q14" s="11"/>
      <c r="R14" s="11">
        <f>SUM(R12:R13)</f>
        <v>-95617651</v>
      </c>
    </row>
    <row r="15" spans="1:20" ht="18.75" customHeight="1" thickBot="1">
      <c r="A15" s="4" t="s">
        <v>217</v>
      </c>
      <c r="F15" s="12">
        <f>SUM(F11,F14:F14)</f>
        <v>1666827010</v>
      </c>
      <c r="G15" s="1"/>
      <c r="H15" s="12">
        <f>SUM(H11,H14:H14)</f>
        <v>2062460582</v>
      </c>
      <c r="I15" s="1"/>
      <c r="J15" s="12">
        <f>SUM(J11,J14:J14)</f>
        <v>211675358</v>
      </c>
      <c r="K15" s="1"/>
      <c r="L15" s="12">
        <f>SUM(L11,L14:L14)</f>
        <v>201734273</v>
      </c>
      <c r="M15" s="1"/>
      <c r="N15" s="12">
        <f>SUM(N11,N14:N14)</f>
        <v>141313392</v>
      </c>
      <c r="O15" s="1"/>
      <c r="P15" s="12">
        <f>SUM(P11,P14:P14)</f>
        <v>141313392</v>
      </c>
      <c r="Q15" s="2"/>
      <c r="R15" s="12">
        <f>SUM(R11,R14:R14)</f>
        <v>4284010615</v>
      </c>
    </row>
    <row r="16" spans="1:20" ht="18.75" customHeight="1" thickTop="1"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20" ht="18.75" customHeight="1">
      <c r="A17" s="4" t="s">
        <v>247</v>
      </c>
      <c r="B17" s="4"/>
      <c r="F17" s="2">
        <f>F15</f>
        <v>1666827010</v>
      </c>
      <c r="G17" s="2">
        <f t="shared" ref="G17:P17" si="0">G15</f>
        <v>0</v>
      </c>
      <c r="H17" s="2">
        <f t="shared" si="0"/>
        <v>2062460582</v>
      </c>
      <c r="I17" s="2">
        <f t="shared" si="0"/>
        <v>0</v>
      </c>
      <c r="J17" s="2">
        <f t="shared" si="0"/>
        <v>211675358</v>
      </c>
      <c r="K17" s="2">
        <f t="shared" si="0"/>
        <v>0</v>
      </c>
      <c r="L17" s="2">
        <f t="shared" si="0"/>
        <v>201734273</v>
      </c>
      <c r="M17" s="2">
        <f t="shared" si="0"/>
        <v>0</v>
      </c>
      <c r="N17" s="2">
        <f t="shared" si="0"/>
        <v>141313392</v>
      </c>
      <c r="O17" s="2">
        <f t="shared" si="0"/>
        <v>0</v>
      </c>
      <c r="P17" s="2">
        <f t="shared" si="0"/>
        <v>141313392</v>
      </c>
      <c r="Q17" s="2"/>
      <c r="R17" s="2">
        <f>SUM(F17:L17,P17)</f>
        <v>4284010615</v>
      </c>
    </row>
    <row r="18" spans="1:20" ht="18.75" customHeight="1">
      <c r="A18" s="41" t="s">
        <v>263</v>
      </c>
      <c r="F18" s="2">
        <v>0</v>
      </c>
      <c r="G18" s="1"/>
      <c r="H18" s="2">
        <v>0</v>
      </c>
      <c r="I18" s="1"/>
      <c r="J18" s="2">
        <v>0</v>
      </c>
      <c r="K18" s="1"/>
      <c r="L18" s="2">
        <f>pl!H26</f>
        <v>46849570</v>
      </c>
      <c r="M18" s="1"/>
      <c r="N18" s="2">
        <v>0</v>
      </c>
      <c r="O18" s="1"/>
      <c r="P18" s="2">
        <f>SUM(N18)</f>
        <v>0</v>
      </c>
      <c r="Q18" s="2"/>
      <c r="R18" s="2">
        <f>SUM(F18:L18,P18)</f>
        <v>46849570</v>
      </c>
    </row>
    <row r="19" spans="1:20" ht="18.75" customHeight="1">
      <c r="A19" s="6" t="s">
        <v>202</v>
      </c>
      <c r="F19" s="3">
        <v>0</v>
      </c>
      <c r="G19" s="1"/>
      <c r="H19" s="3">
        <v>0</v>
      </c>
      <c r="I19" s="1"/>
      <c r="J19" s="3">
        <v>0</v>
      </c>
      <c r="K19" s="1"/>
      <c r="L19" s="3">
        <f>+pl!H58</f>
        <v>-18719492</v>
      </c>
      <c r="M19" s="1"/>
      <c r="N19" s="3">
        <v>2738037</v>
      </c>
      <c r="O19" s="1"/>
      <c r="P19" s="3">
        <f>SUM(N19)</f>
        <v>2738037</v>
      </c>
      <c r="Q19" s="2"/>
      <c r="R19" s="3">
        <f>SUM(F19:L19,P19)</f>
        <v>-15981455</v>
      </c>
    </row>
    <row r="20" spans="1:20" ht="18.75" customHeight="1">
      <c r="A20" s="6" t="s">
        <v>212</v>
      </c>
      <c r="F20" s="11">
        <f>SUM(F18:F19)</f>
        <v>0</v>
      </c>
      <c r="G20" s="1"/>
      <c r="H20" s="11">
        <f>SUM(H18:H19)</f>
        <v>0</v>
      </c>
      <c r="I20" s="1"/>
      <c r="J20" s="11">
        <f>SUM(J18:J19)</f>
        <v>0</v>
      </c>
      <c r="K20" s="1"/>
      <c r="L20" s="11">
        <f>SUM(L18:L19)</f>
        <v>28130078</v>
      </c>
      <c r="M20" s="1"/>
      <c r="N20" s="11">
        <f>SUM(N18:N19)</f>
        <v>2738037</v>
      </c>
      <c r="O20" s="1"/>
      <c r="P20" s="11">
        <f>SUM(P18:P19)</f>
        <v>2738037</v>
      </c>
      <c r="Q20" s="11"/>
      <c r="R20" s="11">
        <f>SUM(R18:R19)</f>
        <v>30868115</v>
      </c>
      <c r="T20" s="13"/>
    </row>
    <row r="21" spans="1:20" ht="18.75" customHeight="1" thickBot="1">
      <c r="A21" s="4" t="s">
        <v>248</v>
      </c>
      <c r="F21" s="12">
        <f>SUM(F20,F17)</f>
        <v>1666827010</v>
      </c>
      <c r="G21" s="1"/>
      <c r="H21" s="12">
        <f>SUM(H20,H17)</f>
        <v>2062460582</v>
      </c>
      <c r="I21" s="1"/>
      <c r="J21" s="12">
        <f>SUM(J20,J17)</f>
        <v>211675358</v>
      </c>
      <c r="K21" s="1"/>
      <c r="L21" s="12">
        <f>SUM(L20,L17)</f>
        <v>229864351</v>
      </c>
      <c r="M21" s="1"/>
      <c r="N21" s="12">
        <f>SUM(N20,N17)</f>
        <v>144051429</v>
      </c>
      <c r="O21" s="1"/>
      <c r="P21" s="12">
        <f>SUM(P20,P17)</f>
        <v>144051429</v>
      </c>
      <c r="Q21" s="2"/>
      <c r="R21" s="12">
        <f>SUM(R20,R17)</f>
        <v>4314878730</v>
      </c>
    </row>
    <row r="22" spans="1:20" ht="18.75" customHeight="1" thickTop="1">
      <c r="A22" s="4"/>
      <c r="F22" s="2">
        <v>0</v>
      </c>
      <c r="G22" s="1"/>
      <c r="H22" s="2">
        <v>0</v>
      </c>
      <c r="I22" s="1"/>
      <c r="J22" s="2">
        <v>0</v>
      </c>
      <c r="K22" s="1"/>
      <c r="L22" s="2">
        <v>0</v>
      </c>
      <c r="M22" s="1"/>
      <c r="N22" s="2"/>
      <c r="O22" s="1"/>
      <c r="P22" s="2">
        <v>0</v>
      </c>
      <c r="Q22" s="2"/>
      <c r="R22" s="2">
        <v>0</v>
      </c>
    </row>
    <row r="23" spans="1:20" ht="18.75" customHeight="1">
      <c r="A23" s="4"/>
      <c r="F23" s="2">
        <f>F21-bs!H76</f>
        <v>0</v>
      </c>
      <c r="G23" s="1"/>
      <c r="H23" s="2">
        <f>H21-bs!H77</f>
        <v>0</v>
      </c>
      <c r="I23" s="1"/>
      <c r="J23" s="2">
        <f>J21-bs!H82</f>
        <v>0</v>
      </c>
      <c r="K23" s="1"/>
      <c r="L23" s="2">
        <f>L21-bs!H83</f>
        <v>0</v>
      </c>
      <c r="M23" s="1"/>
      <c r="N23" s="2"/>
      <c r="O23" s="1"/>
      <c r="P23" s="2">
        <f>P21-bs!H84</f>
        <v>0</v>
      </c>
      <c r="Q23" s="2"/>
      <c r="R23" s="2">
        <f>R21-bs!H88</f>
        <v>0</v>
      </c>
    </row>
    <row r="24" spans="1:20" ht="18.75" customHeight="1">
      <c r="A24" s="6" t="s">
        <v>18</v>
      </c>
      <c r="P24" s="102">
        <f>+P23/0.2</f>
        <v>0</v>
      </c>
    </row>
  </sheetData>
  <mergeCells count="3">
    <mergeCell ref="F5:R5"/>
    <mergeCell ref="J8:L8"/>
    <mergeCell ref="N6:P6"/>
  </mergeCells>
  <phoneticPr fontId="4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86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0"/>
  <sheetViews>
    <sheetView showGridLines="0" tabSelected="1" view="pageBreakPreview" topLeftCell="A16" zoomScaleNormal="100" zoomScaleSheetLayoutView="100" workbookViewId="0">
      <selection activeCell="A51" sqref="A51"/>
    </sheetView>
  </sheetViews>
  <sheetFormatPr defaultColWidth="10.7109375" defaultRowHeight="19.7" customHeight="1"/>
  <cols>
    <col min="1" max="1" width="55.42578125" style="78" customWidth="1"/>
    <col min="2" max="2" width="6.85546875" style="78" customWidth="1"/>
    <col min="3" max="3" width="2" style="78" customWidth="1"/>
    <col min="4" max="4" width="15.28515625" style="171" bestFit="1" customWidth="1"/>
    <col min="5" max="5" width="1.7109375" style="78" customWidth="1"/>
    <col min="6" max="6" width="15" style="79" bestFit="1" customWidth="1"/>
    <col min="7" max="7" width="1.5703125" style="78" customWidth="1"/>
    <col min="8" max="8" width="15.28515625" style="77" bestFit="1" customWidth="1"/>
    <col min="9" max="9" width="1.5703125" style="78" customWidth="1"/>
    <col min="10" max="10" width="15.7109375" style="79" bestFit="1" customWidth="1"/>
    <col min="11" max="11" width="8.5703125" style="78" customWidth="1"/>
    <col min="12" max="12" width="14.5703125" style="78" bestFit="1" customWidth="1"/>
    <col min="13" max="13" width="12.42578125" style="78" bestFit="1" customWidth="1"/>
    <col min="14" max="15" width="10.7109375" style="78"/>
    <col min="16" max="16" width="14.5703125" style="78" bestFit="1" customWidth="1"/>
    <col min="17" max="16384" width="10.7109375" style="78"/>
  </cols>
  <sheetData>
    <row r="1" spans="1:17" s="73" customFormat="1" ht="18.95" customHeight="1">
      <c r="A1" s="73" t="s">
        <v>0</v>
      </c>
      <c r="D1" s="170"/>
      <c r="F1" s="75"/>
      <c r="H1" s="74"/>
      <c r="J1" s="75"/>
    </row>
    <row r="2" spans="1:17" s="73" customFormat="1" ht="18.95" customHeight="1">
      <c r="A2" s="73" t="s">
        <v>143</v>
      </c>
      <c r="D2" s="170"/>
      <c r="F2" s="75"/>
      <c r="H2" s="74"/>
      <c r="J2" s="75"/>
    </row>
    <row r="3" spans="1:17" s="73" customFormat="1" ht="18.95" customHeight="1">
      <c r="A3" s="73" t="s">
        <v>246</v>
      </c>
      <c r="D3" s="170"/>
      <c r="F3" s="75"/>
      <c r="H3" s="74"/>
      <c r="J3" s="75"/>
    </row>
    <row r="4" spans="1:17" s="76" customFormat="1" ht="18.95" customHeight="1">
      <c r="D4" s="171"/>
      <c r="E4" s="78"/>
      <c r="F4" s="79"/>
      <c r="G4" s="78"/>
      <c r="H4" s="80"/>
      <c r="I4" s="78"/>
      <c r="J4" s="81" t="s">
        <v>1</v>
      </c>
    </row>
    <row r="5" spans="1:17" s="82" customFormat="1" ht="18.95" customHeight="1">
      <c r="D5" s="172"/>
      <c r="E5" s="82" t="s">
        <v>2</v>
      </c>
      <c r="F5" s="85"/>
      <c r="H5" s="83"/>
      <c r="I5" s="84" t="s">
        <v>3</v>
      </c>
      <c r="J5" s="85"/>
    </row>
    <row r="6" spans="1:17" s="76" customFormat="1" ht="18.95" customHeight="1">
      <c r="B6" s="86"/>
      <c r="D6" s="173">
        <v>2023</v>
      </c>
      <c r="E6" s="86"/>
      <c r="F6" s="87">
        <v>2022</v>
      </c>
      <c r="G6" s="86"/>
      <c r="H6" s="87">
        <v>2023</v>
      </c>
      <c r="I6" s="86"/>
      <c r="J6" s="87">
        <v>2022</v>
      </c>
    </row>
    <row r="7" spans="1:17" ht="18.95" customHeight="1">
      <c r="A7" s="73" t="s">
        <v>144</v>
      </c>
    </row>
    <row r="8" spans="1:17" ht="18.95" customHeight="1">
      <c r="A8" s="78" t="s">
        <v>264</v>
      </c>
      <c r="D8" s="144">
        <f>SUM(pl!D24)</f>
        <v>564329205</v>
      </c>
      <c r="E8" s="88"/>
      <c r="F8" s="88">
        <f>SUM(pl!F24)</f>
        <v>-8232184</v>
      </c>
      <c r="G8" s="88"/>
      <c r="H8" s="144">
        <f>SUM(pl!H24)</f>
        <v>48396132</v>
      </c>
      <c r="I8" s="88"/>
      <c r="J8" s="88">
        <f>SUM(pl!J24)</f>
        <v>-96341639</v>
      </c>
      <c r="L8" s="88"/>
      <c r="M8" s="88"/>
      <c r="P8" s="88"/>
      <c r="Q8" s="88"/>
    </row>
    <row r="9" spans="1:17" ht="18.95" customHeight="1">
      <c r="A9" s="78" t="s">
        <v>282</v>
      </c>
      <c r="D9" s="144"/>
      <c r="E9" s="88"/>
      <c r="F9" s="88"/>
      <c r="G9" s="88"/>
      <c r="H9" s="88"/>
      <c r="I9" s="88"/>
      <c r="J9" s="88"/>
      <c r="L9" s="88"/>
      <c r="M9" s="88"/>
      <c r="P9" s="88"/>
      <c r="Q9" s="88"/>
    </row>
    <row r="10" spans="1:17" ht="18.95" customHeight="1">
      <c r="A10" s="78" t="s">
        <v>145</v>
      </c>
      <c r="D10" s="144"/>
      <c r="E10" s="88"/>
      <c r="F10" s="88"/>
      <c r="G10" s="88"/>
      <c r="H10" s="88"/>
      <c r="I10" s="88"/>
      <c r="J10" s="88"/>
      <c r="L10" s="88"/>
      <c r="M10" s="88"/>
      <c r="P10" s="88"/>
      <c r="Q10" s="88"/>
    </row>
    <row r="11" spans="1:17" ht="18.95" customHeight="1">
      <c r="A11" s="78" t="s">
        <v>146</v>
      </c>
      <c r="D11" s="144">
        <v>399869016</v>
      </c>
      <c r="E11" s="88"/>
      <c r="F11" s="88">
        <v>412536768</v>
      </c>
      <c r="G11" s="88"/>
      <c r="H11" s="88">
        <v>6061891</v>
      </c>
      <c r="I11" s="88"/>
      <c r="J11" s="88">
        <v>5223480</v>
      </c>
      <c r="L11" s="88"/>
      <c r="M11" s="88"/>
      <c r="P11" s="88"/>
      <c r="Q11" s="88"/>
    </row>
    <row r="12" spans="1:17" ht="18.95" customHeight="1">
      <c r="A12" s="78" t="s">
        <v>237</v>
      </c>
      <c r="D12" s="174">
        <v>49891196</v>
      </c>
      <c r="E12" s="88"/>
      <c r="F12" s="89">
        <v>-187297</v>
      </c>
      <c r="G12" s="88"/>
      <c r="H12" s="89">
        <v>806180</v>
      </c>
      <c r="I12" s="88"/>
      <c r="J12" s="89">
        <v>-289628</v>
      </c>
      <c r="L12" s="88"/>
      <c r="M12" s="88"/>
      <c r="P12" s="88"/>
      <c r="Q12" s="88"/>
    </row>
    <row r="13" spans="1:17" ht="18.95" customHeight="1">
      <c r="A13" s="78" t="s">
        <v>238</v>
      </c>
      <c r="D13" s="174">
        <v>310626</v>
      </c>
      <c r="E13" s="88"/>
      <c r="F13" s="89">
        <v>1648899</v>
      </c>
      <c r="G13" s="88"/>
      <c r="H13" s="88">
        <v>0</v>
      </c>
      <c r="I13" s="88"/>
      <c r="J13" s="89">
        <v>0</v>
      </c>
      <c r="L13" s="88"/>
      <c r="M13" s="88"/>
      <c r="P13" s="88"/>
      <c r="Q13" s="88"/>
    </row>
    <row r="14" spans="1:17" ht="18.95" customHeight="1">
      <c r="A14" s="78" t="s">
        <v>243</v>
      </c>
      <c r="D14" s="174"/>
      <c r="E14" s="88"/>
      <c r="F14" s="89"/>
      <c r="G14" s="88"/>
      <c r="H14" s="89"/>
      <c r="I14" s="88"/>
      <c r="J14" s="89"/>
      <c r="L14" s="88"/>
      <c r="M14" s="88"/>
      <c r="P14" s="88"/>
      <c r="Q14" s="88"/>
    </row>
    <row r="15" spans="1:17" ht="18.95" customHeight="1">
      <c r="A15" s="78" t="s">
        <v>266</v>
      </c>
      <c r="D15" s="174">
        <v>23714606</v>
      </c>
      <c r="E15" s="88"/>
      <c r="F15" s="89">
        <v>597453</v>
      </c>
      <c r="G15" s="88"/>
      <c r="H15" s="88">
        <v>0</v>
      </c>
      <c r="I15" s="88"/>
      <c r="J15" s="89">
        <v>0</v>
      </c>
      <c r="L15" s="88"/>
      <c r="M15" s="88"/>
      <c r="P15" s="88"/>
      <c r="Q15" s="88"/>
    </row>
    <row r="16" spans="1:17" ht="18.95" customHeight="1">
      <c r="A16" s="78" t="s">
        <v>252</v>
      </c>
      <c r="D16" s="174">
        <v>12064169</v>
      </c>
      <c r="E16" s="88"/>
      <c r="F16" s="88">
        <v>0</v>
      </c>
      <c r="G16" s="88"/>
      <c r="H16" s="88">
        <v>0</v>
      </c>
      <c r="I16" s="88"/>
      <c r="J16" s="88">
        <v>0</v>
      </c>
      <c r="L16" s="88"/>
      <c r="M16" s="88"/>
      <c r="P16" s="88"/>
      <c r="Q16" s="88"/>
    </row>
    <row r="17" spans="1:17" ht="18.95" customHeight="1">
      <c r="A17" s="78" t="s">
        <v>276</v>
      </c>
      <c r="D17" s="144">
        <v>0</v>
      </c>
      <c r="E17" s="88"/>
      <c r="F17" s="88">
        <v>0</v>
      </c>
      <c r="G17" s="88"/>
      <c r="H17" s="88">
        <v>-174414600</v>
      </c>
      <c r="I17" s="88"/>
      <c r="J17" s="88">
        <v>0</v>
      </c>
      <c r="L17" s="88"/>
      <c r="M17" s="88"/>
      <c r="P17" s="88"/>
      <c r="Q17" s="88"/>
    </row>
    <row r="18" spans="1:17" ht="18.95" customHeight="1">
      <c r="A18" s="78" t="s">
        <v>239</v>
      </c>
      <c r="D18" s="144">
        <v>0</v>
      </c>
      <c r="E18" s="88"/>
      <c r="F18" s="88">
        <v>0</v>
      </c>
      <c r="G18" s="88"/>
      <c r="H18" s="88">
        <v>-19065894</v>
      </c>
      <c r="I18" s="88"/>
      <c r="J18" s="88">
        <v>-19074128</v>
      </c>
      <c r="L18" s="88"/>
      <c r="M18" s="88"/>
      <c r="P18" s="88"/>
      <c r="Q18" s="88"/>
    </row>
    <row r="19" spans="1:17" ht="18.95" customHeight="1">
      <c r="A19" s="78" t="s">
        <v>283</v>
      </c>
      <c r="D19" s="144">
        <v>26988800</v>
      </c>
      <c r="E19" s="88"/>
      <c r="F19" s="88">
        <v>0</v>
      </c>
      <c r="G19" s="88"/>
      <c r="H19" s="88">
        <v>0</v>
      </c>
      <c r="I19" s="88"/>
      <c r="J19" s="88">
        <v>0</v>
      </c>
      <c r="L19" s="88"/>
      <c r="M19" s="88"/>
      <c r="P19" s="88"/>
      <c r="Q19" s="88"/>
    </row>
    <row r="20" spans="1:17" ht="18.95" customHeight="1">
      <c r="A20" s="78" t="s">
        <v>284</v>
      </c>
      <c r="D20" s="144">
        <v>3159558</v>
      </c>
      <c r="E20" s="88"/>
      <c r="F20" s="88">
        <v>0</v>
      </c>
      <c r="G20" s="88"/>
      <c r="H20" s="88">
        <v>0</v>
      </c>
      <c r="I20" s="88"/>
      <c r="J20" s="88">
        <v>0</v>
      </c>
      <c r="L20" s="88"/>
      <c r="M20" s="88"/>
      <c r="P20" s="88"/>
      <c r="Q20" s="88"/>
    </row>
    <row r="21" spans="1:17" ht="18.95" customHeight="1">
      <c r="A21" s="78" t="s">
        <v>147</v>
      </c>
      <c r="D21" s="175">
        <v>-9707176</v>
      </c>
      <c r="E21" s="88"/>
      <c r="F21" s="90">
        <v>-28529666</v>
      </c>
      <c r="G21" s="88"/>
      <c r="H21" s="88">
        <v>0</v>
      </c>
      <c r="I21" s="88"/>
      <c r="J21" s="90">
        <v>0</v>
      </c>
      <c r="L21" s="88"/>
      <c r="M21" s="88"/>
      <c r="P21" s="88"/>
      <c r="Q21" s="88"/>
    </row>
    <row r="22" spans="1:17" ht="18.95" customHeight="1">
      <c r="A22" s="78" t="s">
        <v>240</v>
      </c>
      <c r="D22" s="174">
        <v>-100413856</v>
      </c>
      <c r="E22" s="88"/>
      <c r="F22" s="89">
        <v>-34757718</v>
      </c>
      <c r="G22" s="88"/>
      <c r="H22" s="89">
        <v>-20249526</v>
      </c>
      <c r="I22" s="88"/>
      <c r="J22" s="89">
        <v>-12896010</v>
      </c>
      <c r="L22" s="88"/>
      <c r="M22" s="88"/>
      <c r="P22" s="88"/>
      <c r="Q22" s="88"/>
    </row>
    <row r="23" spans="1:17" ht="18.95" customHeight="1">
      <c r="A23" s="78" t="s">
        <v>241</v>
      </c>
      <c r="D23" s="174">
        <v>-12310180</v>
      </c>
      <c r="E23" s="88"/>
      <c r="F23" s="89">
        <v>1882814</v>
      </c>
      <c r="G23" s="88"/>
      <c r="H23" s="89">
        <v>-28192</v>
      </c>
      <c r="I23" s="88"/>
      <c r="J23" s="89">
        <v>-218586</v>
      </c>
      <c r="L23" s="88"/>
      <c r="M23" s="88"/>
      <c r="P23" s="88"/>
      <c r="Q23" s="88"/>
    </row>
    <row r="24" spans="1:17" ht="18.95" customHeight="1">
      <c r="A24" s="78" t="s">
        <v>262</v>
      </c>
      <c r="D24" s="174">
        <v>38694238</v>
      </c>
      <c r="E24" s="88"/>
      <c r="F24" s="89">
        <v>0</v>
      </c>
      <c r="G24" s="88"/>
      <c r="H24" s="89">
        <v>0</v>
      </c>
      <c r="I24" s="88"/>
      <c r="J24" s="89">
        <v>0</v>
      </c>
      <c r="L24" s="88"/>
      <c r="M24" s="88"/>
      <c r="P24" s="88"/>
      <c r="Q24" s="88"/>
    </row>
    <row r="25" spans="1:17" ht="18.95" customHeight="1">
      <c r="A25" s="78" t="s">
        <v>148</v>
      </c>
      <c r="D25" s="144">
        <v>476679</v>
      </c>
      <c r="E25" s="88"/>
      <c r="F25" s="88">
        <v>8546996</v>
      </c>
      <c r="G25" s="88"/>
      <c r="H25" s="88">
        <v>9</v>
      </c>
      <c r="I25" s="88"/>
      <c r="J25" s="88">
        <v>5705001</v>
      </c>
      <c r="L25" s="88"/>
      <c r="M25" s="88"/>
      <c r="P25" s="88"/>
      <c r="Q25" s="88"/>
    </row>
    <row r="26" spans="1:17" ht="18.95" customHeight="1">
      <c r="A26" s="78" t="s">
        <v>267</v>
      </c>
      <c r="D26" s="144">
        <v>-87760953</v>
      </c>
      <c r="E26" s="88"/>
      <c r="F26" s="88">
        <v>0</v>
      </c>
      <c r="G26" s="88"/>
      <c r="H26" s="88">
        <v>1869770</v>
      </c>
      <c r="I26" s="88"/>
      <c r="J26" s="88">
        <v>0</v>
      </c>
      <c r="L26" s="88"/>
      <c r="M26" s="88"/>
      <c r="P26" s="88"/>
      <c r="Q26" s="88"/>
    </row>
    <row r="27" spans="1:17" ht="18.95" customHeight="1">
      <c r="A27" s="78" t="s">
        <v>277</v>
      </c>
      <c r="D27" s="144">
        <v>0</v>
      </c>
      <c r="E27" s="88"/>
      <c r="F27" s="88">
        <v>-2095244</v>
      </c>
      <c r="G27" s="88"/>
      <c r="H27" s="88">
        <v>0</v>
      </c>
      <c r="I27" s="88"/>
      <c r="J27" s="88">
        <v>0</v>
      </c>
      <c r="L27" s="88"/>
      <c r="M27" s="88"/>
      <c r="P27" s="88"/>
      <c r="Q27" s="88"/>
    </row>
    <row r="28" spans="1:17" ht="18.95" customHeight="1">
      <c r="A28" s="78" t="s">
        <v>149</v>
      </c>
      <c r="D28" s="144">
        <v>2167814</v>
      </c>
      <c r="E28" s="88"/>
      <c r="F28" s="88">
        <v>21551139</v>
      </c>
      <c r="G28" s="88"/>
      <c r="H28" s="88">
        <v>0</v>
      </c>
      <c r="I28" s="88"/>
      <c r="J28" s="88">
        <v>0</v>
      </c>
      <c r="L28" s="88"/>
      <c r="M28" s="88"/>
      <c r="P28" s="88"/>
      <c r="Q28" s="88"/>
    </row>
    <row r="29" spans="1:17" ht="18.95" customHeight="1">
      <c r="A29" s="78" t="s">
        <v>268</v>
      </c>
      <c r="D29" s="144">
        <v>11539092</v>
      </c>
      <c r="E29" s="88"/>
      <c r="F29" s="88">
        <v>14769572</v>
      </c>
      <c r="G29" s="88"/>
      <c r="H29" s="88">
        <v>2150172</v>
      </c>
      <c r="I29" s="88"/>
      <c r="J29" s="88">
        <v>1370885</v>
      </c>
      <c r="L29" s="88"/>
      <c r="M29" s="88"/>
      <c r="P29" s="88"/>
      <c r="Q29" s="88"/>
    </row>
    <row r="30" spans="1:17" ht="18.95" customHeight="1">
      <c r="A30" s="78" t="s">
        <v>280</v>
      </c>
      <c r="D30" s="144">
        <v>6720509</v>
      </c>
      <c r="E30" s="88"/>
      <c r="F30" s="88">
        <v>0</v>
      </c>
      <c r="G30" s="88"/>
      <c r="H30" s="88">
        <v>0</v>
      </c>
      <c r="I30" s="88"/>
      <c r="J30" s="88">
        <v>0</v>
      </c>
      <c r="L30" s="88"/>
      <c r="M30" s="88"/>
      <c r="P30" s="88"/>
      <c r="Q30" s="88"/>
    </row>
    <row r="31" spans="1:17" ht="18.95" customHeight="1">
      <c r="A31" s="78" t="s">
        <v>150</v>
      </c>
      <c r="D31" s="174">
        <v>-45849700</v>
      </c>
      <c r="E31" s="89"/>
      <c r="F31" s="89">
        <v>-40919275</v>
      </c>
      <c r="G31" s="89"/>
      <c r="H31" s="89">
        <v>-57526989</v>
      </c>
      <c r="I31" s="89"/>
      <c r="J31" s="89">
        <v>-46761266</v>
      </c>
      <c r="L31" s="88"/>
      <c r="M31" s="88"/>
      <c r="P31" s="88"/>
      <c r="Q31" s="88"/>
    </row>
    <row r="32" spans="1:17" ht="18.95" customHeight="1">
      <c r="A32" s="78" t="s">
        <v>151</v>
      </c>
      <c r="D32" s="176">
        <v>209398793</v>
      </c>
      <c r="E32" s="89"/>
      <c r="F32" s="91">
        <v>201884032</v>
      </c>
      <c r="G32" s="89"/>
      <c r="H32" s="91">
        <v>109623464</v>
      </c>
      <c r="I32" s="89"/>
      <c r="J32" s="91">
        <v>77818371</v>
      </c>
      <c r="L32" s="88"/>
      <c r="M32" s="88"/>
      <c r="P32" s="88"/>
      <c r="Q32" s="88"/>
    </row>
    <row r="33" spans="1:17" ht="18.95" customHeight="1">
      <c r="A33" s="78" t="s">
        <v>152</v>
      </c>
      <c r="D33" s="144"/>
      <c r="E33" s="89"/>
      <c r="F33" s="88"/>
      <c r="G33" s="89"/>
      <c r="H33" s="88"/>
      <c r="I33" s="89"/>
      <c r="J33" s="88"/>
      <c r="L33" s="88"/>
      <c r="M33" s="88"/>
      <c r="P33" s="88"/>
      <c r="Q33" s="88"/>
    </row>
    <row r="34" spans="1:17" ht="18.95" customHeight="1">
      <c r="A34" s="78" t="s">
        <v>153</v>
      </c>
      <c r="D34" s="144">
        <f>SUM(D8:D32)</f>
        <v>1093282436</v>
      </c>
      <c r="E34" s="88"/>
      <c r="F34" s="88">
        <f>SUM(F8:F32)</f>
        <v>548696289</v>
      </c>
      <c r="G34" s="88"/>
      <c r="H34" s="88">
        <f>SUM(H8:H32)</f>
        <v>-102377583</v>
      </c>
      <c r="I34" s="88"/>
      <c r="J34" s="88">
        <f>SUM(J8:J32)</f>
        <v>-85463520</v>
      </c>
      <c r="L34" s="88"/>
      <c r="M34" s="88"/>
      <c r="P34" s="88"/>
      <c r="Q34" s="88"/>
    </row>
    <row r="35" spans="1:17" ht="18.95" customHeight="1">
      <c r="A35" s="78" t="s">
        <v>154</v>
      </c>
      <c r="D35" s="144"/>
      <c r="E35" s="88"/>
      <c r="F35" s="88"/>
      <c r="G35" s="88"/>
      <c r="H35" s="88"/>
      <c r="I35" s="88"/>
      <c r="J35" s="88"/>
      <c r="L35" s="88"/>
      <c r="M35" s="88"/>
      <c r="P35" s="88"/>
      <c r="Q35" s="88"/>
    </row>
    <row r="36" spans="1:17" ht="18.95" customHeight="1">
      <c r="A36" s="78" t="s">
        <v>155</v>
      </c>
      <c r="D36" s="144">
        <v>-165088749</v>
      </c>
      <c r="E36" s="88"/>
      <c r="F36" s="88">
        <v>-221996278</v>
      </c>
      <c r="G36" s="88"/>
      <c r="H36" s="88">
        <v>-18460192</v>
      </c>
      <c r="I36" s="88"/>
      <c r="J36" s="88">
        <v>19622980</v>
      </c>
      <c r="L36" s="88"/>
      <c r="M36" s="88"/>
      <c r="P36" s="88"/>
      <c r="Q36" s="88"/>
    </row>
    <row r="37" spans="1:17" s="73" customFormat="1" ht="18.95" customHeight="1">
      <c r="A37" s="78" t="s">
        <v>156</v>
      </c>
      <c r="B37" s="78"/>
      <c r="C37" s="78"/>
      <c r="D37" s="144">
        <v>-90508517</v>
      </c>
      <c r="E37" s="88"/>
      <c r="F37" s="88">
        <v>-11382048</v>
      </c>
      <c r="G37" s="88"/>
      <c r="H37" s="88">
        <v>0</v>
      </c>
      <c r="I37" s="88"/>
      <c r="J37" s="88">
        <v>0</v>
      </c>
      <c r="L37" s="88"/>
      <c r="M37" s="88"/>
      <c r="N37" s="78"/>
      <c r="O37" s="78"/>
      <c r="P37" s="88"/>
      <c r="Q37" s="88"/>
    </row>
    <row r="38" spans="1:17" ht="18.95" customHeight="1">
      <c r="A38" s="78" t="s">
        <v>157</v>
      </c>
      <c r="D38" s="144">
        <v>43164418</v>
      </c>
      <c r="E38" s="88"/>
      <c r="F38" s="88">
        <v>489613742</v>
      </c>
      <c r="G38" s="88"/>
      <c r="H38" s="88">
        <v>0</v>
      </c>
      <c r="I38" s="88"/>
      <c r="J38" s="88">
        <v>0</v>
      </c>
      <c r="L38" s="88"/>
      <c r="M38" s="88"/>
      <c r="P38" s="88"/>
      <c r="Q38" s="88"/>
    </row>
    <row r="39" spans="1:17" ht="18.95" customHeight="1">
      <c r="A39" s="78" t="s">
        <v>158</v>
      </c>
      <c r="D39" s="144">
        <v>-132659258</v>
      </c>
      <c r="E39" s="88"/>
      <c r="F39" s="88">
        <v>-34041006</v>
      </c>
      <c r="G39" s="88"/>
      <c r="H39" s="88">
        <v>0</v>
      </c>
      <c r="I39" s="88"/>
      <c r="J39" s="88">
        <v>0</v>
      </c>
      <c r="L39" s="88"/>
      <c r="M39" s="88"/>
      <c r="P39" s="88"/>
      <c r="Q39" s="88"/>
    </row>
    <row r="40" spans="1:17" ht="18.95" customHeight="1">
      <c r="A40" s="78" t="s">
        <v>159</v>
      </c>
      <c r="D40" s="144">
        <v>-205760593</v>
      </c>
      <c r="E40" s="88"/>
      <c r="F40" s="88">
        <v>-40394734</v>
      </c>
      <c r="G40" s="88"/>
      <c r="H40" s="88">
        <v>-5147989</v>
      </c>
      <c r="I40" s="88"/>
      <c r="J40" s="88">
        <f>-2487847+1</f>
        <v>-2487846</v>
      </c>
      <c r="L40" s="88"/>
      <c r="M40" s="88"/>
      <c r="P40" s="88"/>
      <c r="Q40" s="88"/>
    </row>
    <row r="41" spans="1:17" ht="18.95" customHeight="1">
      <c r="A41" s="78" t="s">
        <v>160</v>
      </c>
      <c r="D41" s="144">
        <v>-78591133</v>
      </c>
      <c r="E41" s="88"/>
      <c r="F41" s="88">
        <v>50425239</v>
      </c>
      <c r="G41" s="88"/>
      <c r="H41" s="88">
        <v>0</v>
      </c>
      <c r="I41" s="88"/>
      <c r="J41" s="88">
        <v>0</v>
      </c>
      <c r="L41" s="88"/>
      <c r="M41" s="88"/>
      <c r="P41" s="88"/>
      <c r="Q41" s="88"/>
    </row>
    <row r="42" spans="1:17" ht="18.95" customHeight="1">
      <c r="A42" s="78" t="s">
        <v>161</v>
      </c>
      <c r="D42" s="144">
        <v>-2227787</v>
      </c>
      <c r="E42" s="88"/>
      <c r="F42" s="88">
        <v>1039542</v>
      </c>
      <c r="G42" s="88"/>
      <c r="H42" s="88">
        <v>-322503</v>
      </c>
      <c r="I42" s="88"/>
      <c r="J42" s="88">
        <v>-180000</v>
      </c>
      <c r="L42" s="88"/>
      <c r="M42" s="88"/>
      <c r="P42" s="88"/>
      <c r="Q42" s="88"/>
    </row>
    <row r="43" spans="1:17" ht="18.95" customHeight="1">
      <c r="A43" s="78" t="s">
        <v>162</v>
      </c>
      <c r="D43" s="144"/>
      <c r="E43" s="88"/>
      <c r="F43" s="88"/>
      <c r="G43" s="88"/>
      <c r="H43" s="88"/>
      <c r="I43" s="88"/>
      <c r="J43" s="88"/>
      <c r="L43" s="88"/>
      <c r="M43" s="88"/>
      <c r="P43" s="88"/>
      <c r="Q43" s="88"/>
    </row>
    <row r="44" spans="1:17" ht="18.95" customHeight="1">
      <c r="A44" s="78" t="s">
        <v>163</v>
      </c>
      <c r="D44" s="144">
        <v>214039875</v>
      </c>
      <c r="E44" s="88"/>
      <c r="F44" s="88">
        <v>298347689</v>
      </c>
      <c r="G44" s="88"/>
      <c r="H44" s="88">
        <v>3036762</v>
      </c>
      <c r="I44" s="88"/>
      <c r="J44" s="88">
        <v>16404021</v>
      </c>
      <c r="L44" s="88"/>
      <c r="M44" s="88"/>
      <c r="P44" s="88"/>
      <c r="Q44" s="88"/>
    </row>
    <row r="45" spans="1:17" ht="18.95" customHeight="1">
      <c r="A45" s="78" t="s">
        <v>164</v>
      </c>
      <c r="D45" s="144">
        <v>975178869</v>
      </c>
      <c r="E45" s="88"/>
      <c r="F45" s="88">
        <v>429398658</v>
      </c>
      <c r="G45" s="88"/>
      <c r="H45" s="88">
        <v>0</v>
      </c>
      <c r="I45" s="88"/>
      <c r="J45" s="88">
        <v>0</v>
      </c>
      <c r="L45" s="88"/>
      <c r="M45" s="88"/>
      <c r="P45" s="88"/>
      <c r="Q45" s="88"/>
    </row>
    <row r="46" spans="1:17" ht="18.95" customHeight="1">
      <c r="A46" s="78" t="s">
        <v>165</v>
      </c>
      <c r="D46" s="144">
        <v>35537899</v>
      </c>
      <c r="E46" s="88"/>
      <c r="F46" s="88">
        <v>73570413</v>
      </c>
      <c r="G46" s="88"/>
      <c r="H46" s="88">
        <v>-55955</v>
      </c>
      <c r="I46" s="88"/>
      <c r="J46" s="88">
        <v>8388867</v>
      </c>
      <c r="L46" s="88"/>
      <c r="M46" s="88"/>
      <c r="P46" s="88"/>
      <c r="Q46" s="88"/>
    </row>
    <row r="47" spans="1:17" ht="18.95" customHeight="1">
      <c r="A47" s="78" t="s">
        <v>290</v>
      </c>
      <c r="D47" s="144">
        <v>-6633933</v>
      </c>
      <c r="E47" s="88"/>
      <c r="F47" s="88">
        <v>-14856919</v>
      </c>
      <c r="G47" s="88"/>
      <c r="H47" s="88">
        <v>-475032</v>
      </c>
      <c r="I47" s="88"/>
      <c r="J47" s="88">
        <v>-3275160</v>
      </c>
      <c r="L47" s="88"/>
      <c r="M47" s="88"/>
      <c r="P47" s="88"/>
      <c r="Q47" s="88"/>
    </row>
    <row r="48" spans="1:17" ht="18.95" customHeight="1">
      <c r="A48" s="78" t="s">
        <v>291</v>
      </c>
      <c r="B48" s="88"/>
      <c r="D48" s="144">
        <v>-6720509</v>
      </c>
      <c r="E48" s="88"/>
      <c r="F48" s="88">
        <v>0</v>
      </c>
      <c r="G48" s="88"/>
      <c r="H48" s="88">
        <v>0</v>
      </c>
      <c r="I48" s="88"/>
      <c r="J48" s="88">
        <v>0</v>
      </c>
      <c r="L48" s="88"/>
      <c r="M48" s="88"/>
      <c r="P48" s="88"/>
      <c r="Q48" s="88"/>
    </row>
    <row r="49" spans="1:17" ht="18.95" customHeight="1">
      <c r="A49" s="78" t="s">
        <v>166</v>
      </c>
      <c r="D49" s="176">
        <v>6298572</v>
      </c>
      <c r="E49" s="88"/>
      <c r="F49" s="91">
        <v>19665766</v>
      </c>
      <c r="G49" s="88"/>
      <c r="H49" s="91">
        <v>-3414368</v>
      </c>
      <c r="I49" s="88"/>
      <c r="J49" s="91">
        <v>-123182</v>
      </c>
      <c r="L49" s="88"/>
      <c r="M49" s="88"/>
      <c r="P49" s="88"/>
      <c r="Q49" s="88"/>
    </row>
    <row r="50" spans="1:17" ht="18.95" customHeight="1">
      <c r="A50" s="78" t="s">
        <v>167</v>
      </c>
      <c r="D50" s="144">
        <f>SUM(D34:D42,D44:D49)</f>
        <v>1679311590</v>
      </c>
      <c r="E50" s="88"/>
      <c r="F50" s="88">
        <f>SUM(F34:F42,F44:F49)</f>
        <v>1588086353</v>
      </c>
      <c r="G50" s="88"/>
      <c r="H50" s="88">
        <f>SUM(H34:H42,H44:H49)</f>
        <v>-127216860</v>
      </c>
      <c r="I50" s="88"/>
      <c r="J50" s="88">
        <f>SUM(J34:J42,J44:J49)</f>
        <v>-47113840</v>
      </c>
      <c r="L50" s="88"/>
      <c r="M50" s="88"/>
      <c r="P50" s="88"/>
      <c r="Q50" s="88"/>
    </row>
    <row r="51" spans="1:17" ht="18.95" customHeight="1">
      <c r="A51" s="78" t="s">
        <v>207</v>
      </c>
      <c r="D51" s="144">
        <v>45849700</v>
      </c>
      <c r="E51" s="88"/>
      <c r="F51" s="88">
        <v>40919275</v>
      </c>
      <c r="G51" s="88"/>
      <c r="H51" s="88">
        <v>192912630</v>
      </c>
      <c r="I51" s="88"/>
      <c r="J51" s="88">
        <v>20361536</v>
      </c>
      <c r="L51" s="88"/>
      <c r="M51" s="88"/>
      <c r="P51" s="88"/>
      <c r="Q51" s="88"/>
    </row>
    <row r="52" spans="1:17" ht="18.95" customHeight="1">
      <c r="A52" s="78" t="s">
        <v>168</v>
      </c>
      <c r="D52" s="144">
        <v>8967220</v>
      </c>
      <c r="E52" s="88"/>
      <c r="F52" s="88">
        <v>6977505</v>
      </c>
      <c r="G52" s="88"/>
      <c r="H52" s="88">
        <v>0</v>
      </c>
      <c r="I52" s="88"/>
      <c r="J52" s="88">
        <v>0</v>
      </c>
      <c r="L52" s="88"/>
      <c r="M52" s="88"/>
      <c r="P52" s="88"/>
      <c r="Q52" s="88"/>
    </row>
    <row r="53" spans="1:17" ht="18.95" customHeight="1">
      <c r="A53" s="78" t="s">
        <v>208</v>
      </c>
      <c r="D53" s="144">
        <v>-152513335</v>
      </c>
      <c r="E53" s="88"/>
      <c r="F53" s="88">
        <v>-78134094</v>
      </c>
      <c r="G53" s="88"/>
      <c r="H53" s="88">
        <v>-115354466</v>
      </c>
      <c r="I53" s="88"/>
      <c r="J53" s="88">
        <v>-21246045</v>
      </c>
      <c r="L53" s="88"/>
      <c r="M53" s="88"/>
      <c r="P53" s="88"/>
      <c r="Q53" s="88"/>
    </row>
    <row r="54" spans="1:17" ht="18.95" customHeight="1">
      <c r="A54" s="78" t="s">
        <v>209</v>
      </c>
      <c r="D54" s="177">
        <v>-78103798</v>
      </c>
      <c r="E54" s="88"/>
      <c r="F54" s="92">
        <v>-48478489</v>
      </c>
      <c r="G54" s="88"/>
      <c r="H54" s="92">
        <v>-8855578</v>
      </c>
      <c r="I54" s="88"/>
      <c r="J54" s="92">
        <v>-3859277</v>
      </c>
      <c r="L54" s="88"/>
      <c r="M54" s="88"/>
      <c r="P54" s="88"/>
      <c r="Q54" s="88"/>
    </row>
    <row r="55" spans="1:17" ht="18.95" customHeight="1">
      <c r="A55" s="73" t="s">
        <v>169</v>
      </c>
      <c r="D55" s="176">
        <f>SUM(D50:D54)</f>
        <v>1503511377</v>
      </c>
      <c r="E55" s="88"/>
      <c r="F55" s="91">
        <f>SUM(F50:F54)</f>
        <v>1509370550</v>
      </c>
      <c r="G55" s="88"/>
      <c r="H55" s="91">
        <f>SUM(H50:H54)</f>
        <v>-58514274</v>
      </c>
      <c r="I55" s="88"/>
      <c r="J55" s="91">
        <f>SUM(J50:J54)</f>
        <v>-51857626</v>
      </c>
      <c r="L55" s="88"/>
      <c r="M55" s="88"/>
      <c r="P55" s="88"/>
      <c r="Q55" s="88"/>
    </row>
    <row r="56" spans="1:17" ht="18.95" customHeight="1">
      <c r="A56" s="73"/>
      <c r="D56" s="144"/>
      <c r="E56" s="88"/>
      <c r="F56" s="88"/>
      <c r="G56" s="88"/>
      <c r="H56" s="88"/>
      <c r="I56" s="88"/>
      <c r="J56" s="88"/>
      <c r="L56" s="88"/>
      <c r="M56" s="88"/>
      <c r="P56" s="88"/>
      <c r="Q56" s="88"/>
    </row>
    <row r="57" spans="1:17" ht="18.95" customHeight="1">
      <c r="A57" s="78" t="s">
        <v>18</v>
      </c>
      <c r="D57" s="144"/>
      <c r="E57" s="88"/>
      <c r="F57" s="88"/>
      <c r="G57" s="88"/>
      <c r="H57" s="88"/>
      <c r="I57" s="88"/>
      <c r="J57" s="88"/>
      <c r="L57" s="88"/>
      <c r="M57" s="88"/>
      <c r="P57" s="88"/>
      <c r="Q57" s="88"/>
    </row>
    <row r="58" spans="1:17" s="73" customFormat="1" ht="19.149999999999999" customHeight="1">
      <c r="A58" s="73" t="s">
        <v>0</v>
      </c>
      <c r="D58" s="178"/>
      <c r="E58" s="93"/>
      <c r="F58" s="93"/>
      <c r="G58" s="93"/>
      <c r="H58" s="93"/>
      <c r="I58" s="93"/>
      <c r="J58" s="93"/>
      <c r="L58" s="88"/>
      <c r="M58" s="88"/>
      <c r="N58" s="78"/>
      <c r="O58" s="78"/>
      <c r="P58" s="88"/>
      <c r="Q58" s="88"/>
    </row>
    <row r="59" spans="1:17" s="73" customFormat="1" ht="19.149999999999999" customHeight="1">
      <c r="A59" s="73" t="s">
        <v>170</v>
      </c>
      <c r="D59" s="178"/>
      <c r="E59" s="93"/>
      <c r="F59" s="93"/>
      <c r="G59" s="93"/>
      <c r="H59" s="93"/>
      <c r="I59" s="93"/>
      <c r="J59" s="93"/>
      <c r="L59" s="88"/>
      <c r="M59" s="88"/>
      <c r="N59" s="78"/>
      <c r="O59" s="78"/>
      <c r="P59" s="88"/>
      <c r="Q59" s="88"/>
    </row>
    <row r="60" spans="1:17" s="73" customFormat="1" ht="19.149999999999999" customHeight="1">
      <c r="A60" s="73" t="str">
        <f>A3</f>
        <v>For the year ended 31 December 2023</v>
      </c>
      <c r="D60" s="178"/>
      <c r="E60" s="93"/>
      <c r="F60" s="93"/>
      <c r="G60" s="93"/>
      <c r="H60" s="93"/>
      <c r="I60" s="93"/>
      <c r="J60" s="93"/>
      <c r="L60" s="88"/>
      <c r="M60" s="88"/>
      <c r="N60" s="78"/>
      <c r="O60" s="78"/>
      <c r="P60" s="88"/>
      <c r="Q60" s="88"/>
    </row>
    <row r="61" spans="1:17" s="76" customFormat="1" ht="19.149999999999999" customHeight="1">
      <c r="D61" s="144"/>
      <c r="E61" s="88"/>
      <c r="F61" s="88"/>
      <c r="G61" s="88"/>
      <c r="H61" s="90"/>
      <c r="I61" s="88"/>
      <c r="J61" s="90" t="s">
        <v>1</v>
      </c>
      <c r="L61" s="88"/>
      <c r="M61" s="88"/>
      <c r="N61" s="78"/>
      <c r="O61" s="78"/>
      <c r="P61" s="88"/>
      <c r="Q61" s="88"/>
    </row>
    <row r="62" spans="1:17" s="82" customFormat="1" ht="19.149999999999999" customHeight="1">
      <c r="D62" s="179"/>
      <c r="E62" s="95" t="s">
        <v>2</v>
      </c>
      <c r="F62" s="94"/>
      <c r="G62" s="95"/>
      <c r="H62" s="94"/>
      <c r="I62" s="94" t="s">
        <v>3</v>
      </c>
      <c r="J62" s="94"/>
      <c r="L62" s="88"/>
      <c r="M62" s="88"/>
      <c r="N62" s="78"/>
      <c r="O62" s="78"/>
      <c r="P62" s="88"/>
      <c r="Q62" s="88"/>
    </row>
    <row r="63" spans="1:17" s="76" customFormat="1" ht="19.149999999999999" customHeight="1">
      <c r="B63" s="86"/>
      <c r="D63" s="173">
        <v>2023</v>
      </c>
      <c r="E63" s="86"/>
      <c r="F63" s="87">
        <v>2022</v>
      </c>
      <c r="G63" s="86"/>
      <c r="H63" s="87">
        <v>2023</v>
      </c>
      <c r="I63" s="86"/>
      <c r="J63" s="87">
        <v>2022</v>
      </c>
      <c r="L63" s="88"/>
      <c r="M63" s="88"/>
      <c r="N63" s="78"/>
      <c r="O63" s="78"/>
      <c r="P63" s="88"/>
      <c r="Q63" s="88"/>
    </row>
    <row r="64" spans="1:17" ht="19.149999999999999" customHeight="1">
      <c r="A64" s="73" t="s">
        <v>171</v>
      </c>
      <c r="D64" s="144"/>
      <c r="E64" s="88"/>
      <c r="F64" s="88"/>
      <c r="G64" s="88"/>
      <c r="H64" s="88"/>
      <c r="I64" s="88"/>
      <c r="J64" s="88"/>
      <c r="L64" s="88"/>
      <c r="M64" s="88"/>
      <c r="P64" s="88"/>
      <c r="Q64" s="88"/>
    </row>
    <row r="65" spans="1:17" ht="19.149999999999999" customHeight="1">
      <c r="A65" s="78" t="s">
        <v>269</v>
      </c>
      <c r="B65" s="88"/>
      <c r="D65" s="175">
        <v>0</v>
      </c>
      <c r="E65" s="88"/>
      <c r="F65" s="90">
        <v>23783022</v>
      </c>
      <c r="G65" s="88"/>
      <c r="H65" s="90">
        <v>0</v>
      </c>
      <c r="I65" s="88"/>
      <c r="J65" s="90">
        <v>0</v>
      </c>
      <c r="L65" s="88"/>
      <c r="M65" s="88"/>
      <c r="P65" s="88"/>
      <c r="Q65" s="88"/>
    </row>
    <row r="66" spans="1:17" ht="19.149999999999999" customHeight="1">
      <c r="A66" s="78" t="s">
        <v>197</v>
      </c>
      <c r="B66" s="88"/>
      <c r="D66" s="175">
        <v>-82743</v>
      </c>
      <c r="E66" s="88"/>
      <c r="F66" s="90">
        <v>0</v>
      </c>
      <c r="G66" s="88"/>
      <c r="H66" s="90">
        <v>-11751</v>
      </c>
      <c r="I66" s="88"/>
      <c r="J66" s="90">
        <v>-7030</v>
      </c>
      <c r="L66" s="88"/>
      <c r="M66" s="88"/>
      <c r="P66" s="88"/>
      <c r="Q66" s="88"/>
    </row>
    <row r="67" spans="1:17" ht="19.149999999999999" customHeight="1">
      <c r="A67" s="78" t="s">
        <v>172</v>
      </c>
      <c r="D67" s="175">
        <v>0</v>
      </c>
      <c r="E67" s="88"/>
      <c r="F67" s="90">
        <v>0</v>
      </c>
      <c r="G67" s="88"/>
      <c r="H67" s="90">
        <v>501550000</v>
      </c>
      <c r="I67" s="88"/>
      <c r="J67" s="90">
        <v>138000000</v>
      </c>
      <c r="L67" s="88"/>
      <c r="M67" s="88"/>
      <c r="P67" s="88"/>
      <c r="Q67" s="88"/>
    </row>
    <row r="68" spans="1:17" ht="19.149999999999999" customHeight="1">
      <c r="A68" s="78" t="s">
        <v>173</v>
      </c>
      <c r="D68" s="174">
        <v>0</v>
      </c>
      <c r="E68" s="96"/>
      <c r="F68" s="89">
        <v>0</v>
      </c>
      <c r="G68" s="96"/>
      <c r="H68" s="90">
        <v>-369000000</v>
      </c>
      <c r="I68" s="96"/>
      <c r="J68" s="89">
        <v>-319000000</v>
      </c>
      <c r="L68" s="88"/>
      <c r="M68" s="88"/>
      <c r="P68" s="88"/>
      <c r="Q68" s="88"/>
    </row>
    <row r="69" spans="1:17" ht="19.149999999999999" customHeight="1">
      <c r="A69" s="78" t="s">
        <v>285</v>
      </c>
      <c r="D69" s="175">
        <v>0</v>
      </c>
      <c r="E69" s="88"/>
      <c r="F69" s="90">
        <v>0</v>
      </c>
      <c r="G69" s="88"/>
      <c r="H69" s="90">
        <v>174414600</v>
      </c>
      <c r="I69" s="88"/>
      <c r="J69" s="90">
        <v>0</v>
      </c>
      <c r="L69" s="88"/>
      <c r="M69" s="88"/>
      <c r="P69" s="88"/>
      <c r="Q69" s="88"/>
    </row>
    <row r="70" spans="1:17" ht="19.149999999999999" customHeight="1">
      <c r="A70" s="78" t="s">
        <v>244</v>
      </c>
      <c r="D70" s="175">
        <v>19065894</v>
      </c>
      <c r="E70" s="88"/>
      <c r="F70" s="90">
        <v>19074128</v>
      </c>
      <c r="G70" s="88"/>
      <c r="H70" s="90">
        <v>19065894</v>
      </c>
      <c r="I70" s="88"/>
      <c r="J70" s="90">
        <v>19074128</v>
      </c>
      <c r="L70" s="88"/>
      <c r="M70" s="88"/>
      <c r="P70" s="88"/>
      <c r="Q70" s="88"/>
    </row>
    <row r="71" spans="1:17" ht="19.149999999999999" customHeight="1">
      <c r="A71" s="78" t="s">
        <v>286</v>
      </c>
      <c r="D71" s="175">
        <v>-11847564</v>
      </c>
      <c r="E71" s="88"/>
      <c r="F71" s="90">
        <v>0</v>
      </c>
      <c r="G71" s="88"/>
      <c r="H71" s="90">
        <v>-11847564</v>
      </c>
      <c r="I71" s="88"/>
      <c r="J71" s="90">
        <v>0</v>
      </c>
      <c r="L71" s="88"/>
      <c r="M71" s="88"/>
      <c r="P71" s="88"/>
      <c r="Q71" s="88"/>
    </row>
    <row r="72" spans="1:17" ht="19.149999999999999" customHeight="1">
      <c r="A72" s="78" t="s">
        <v>174</v>
      </c>
      <c r="D72" s="175">
        <v>58781735</v>
      </c>
      <c r="E72" s="90"/>
      <c r="F72" s="90">
        <v>3238556</v>
      </c>
      <c r="G72" s="90"/>
      <c r="H72" s="88">
        <v>28235</v>
      </c>
      <c r="I72" s="90"/>
      <c r="J72" s="90">
        <v>4800768</v>
      </c>
      <c r="L72" s="88"/>
      <c r="M72" s="88"/>
      <c r="P72" s="88"/>
      <c r="Q72" s="88"/>
    </row>
    <row r="73" spans="1:17" ht="19.149999999999999" customHeight="1">
      <c r="A73" s="78" t="s">
        <v>175</v>
      </c>
      <c r="D73" s="144">
        <v>-569067564</v>
      </c>
      <c r="E73" s="88"/>
      <c r="F73" s="88">
        <v>-293040604</v>
      </c>
      <c r="G73" s="88"/>
      <c r="H73" s="88">
        <v>-7462361</v>
      </c>
      <c r="I73" s="88"/>
      <c r="J73" s="88">
        <v>-11071934</v>
      </c>
      <c r="L73" s="88"/>
      <c r="M73" s="88"/>
      <c r="P73" s="88"/>
      <c r="Q73" s="88"/>
    </row>
    <row r="74" spans="1:17" ht="19.149999999999999" customHeight="1">
      <c r="A74" s="73" t="s">
        <v>270</v>
      </c>
      <c r="D74" s="180">
        <f>SUM(D65:D73)</f>
        <v>-503150242</v>
      </c>
      <c r="E74" s="88">
        <f t="shared" ref="E74" si="0">SUM(E65:E73)</f>
        <v>0</v>
      </c>
      <c r="F74" s="97">
        <f>SUM(F65:F73)</f>
        <v>-246944898</v>
      </c>
      <c r="G74" s="88"/>
      <c r="H74" s="97">
        <f>SUM(H65:H73)</f>
        <v>306737053</v>
      </c>
      <c r="I74" s="88"/>
      <c r="J74" s="97">
        <f>SUM(J65:J73)</f>
        <v>-168204068</v>
      </c>
      <c r="L74" s="88"/>
      <c r="M74" s="88"/>
      <c r="P74" s="88"/>
      <c r="Q74" s="88"/>
    </row>
    <row r="75" spans="1:17" ht="19.149999999999999" customHeight="1">
      <c r="A75" s="73" t="s">
        <v>176</v>
      </c>
      <c r="D75" s="144"/>
      <c r="E75" s="88"/>
      <c r="F75" s="88"/>
      <c r="G75" s="88"/>
      <c r="H75" s="88"/>
      <c r="I75" s="88"/>
      <c r="J75" s="88"/>
      <c r="L75" s="88"/>
      <c r="M75" s="88"/>
      <c r="P75" s="88"/>
      <c r="Q75" s="88"/>
    </row>
    <row r="76" spans="1:17" ht="19.149999999999999" customHeight="1">
      <c r="A76" s="78" t="s">
        <v>242</v>
      </c>
      <c r="D76" s="144"/>
      <c r="E76" s="88"/>
      <c r="F76" s="88"/>
      <c r="G76" s="88"/>
      <c r="H76" s="88"/>
      <c r="I76" s="88"/>
      <c r="J76" s="88"/>
      <c r="L76" s="88"/>
      <c r="M76" s="88"/>
      <c r="P76" s="88"/>
      <c r="Q76" s="88"/>
    </row>
    <row r="77" spans="1:17" ht="19.149999999999999" customHeight="1">
      <c r="A77" s="78" t="s">
        <v>140</v>
      </c>
      <c r="D77" s="144">
        <v>-470000000</v>
      </c>
      <c r="E77" s="88"/>
      <c r="F77" s="88">
        <v>-101162030</v>
      </c>
      <c r="G77" s="88"/>
      <c r="H77" s="88">
        <v>-140000000</v>
      </c>
      <c r="I77" s="88"/>
      <c r="J77" s="88">
        <v>0</v>
      </c>
      <c r="L77" s="88"/>
      <c r="M77" s="88"/>
      <c r="P77" s="88"/>
      <c r="Q77" s="88"/>
    </row>
    <row r="78" spans="1:17" ht="19.149999999999999" customHeight="1">
      <c r="A78" s="78" t="s">
        <v>177</v>
      </c>
      <c r="D78" s="144">
        <v>0</v>
      </c>
      <c r="E78" s="88"/>
      <c r="F78" s="88">
        <v>0</v>
      </c>
      <c r="G78" s="88"/>
      <c r="H78" s="88">
        <v>1670000000</v>
      </c>
      <c r="I78" s="88"/>
      <c r="J78" s="88">
        <v>1032000000</v>
      </c>
      <c r="L78" s="88"/>
      <c r="M78" s="88"/>
      <c r="P78" s="88"/>
      <c r="Q78" s="88"/>
    </row>
    <row r="79" spans="1:17" ht="19.149999999999999" customHeight="1">
      <c r="A79" s="78" t="s">
        <v>178</v>
      </c>
      <c r="D79" s="174">
        <v>0</v>
      </c>
      <c r="E79" s="88"/>
      <c r="F79" s="89">
        <v>0</v>
      </c>
      <c r="G79" s="88"/>
      <c r="H79" s="88">
        <v>-1393500000</v>
      </c>
      <c r="I79" s="88"/>
      <c r="J79" s="89">
        <v>-782000000</v>
      </c>
      <c r="L79" s="88"/>
      <c r="M79" s="88"/>
      <c r="P79" s="88"/>
      <c r="Q79" s="88"/>
    </row>
    <row r="80" spans="1:17" ht="19.149999999999999" customHeight="1">
      <c r="A80" s="78" t="s">
        <v>179</v>
      </c>
      <c r="D80" s="175">
        <v>125115000</v>
      </c>
      <c r="E80" s="88"/>
      <c r="F80" s="90">
        <v>150735000</v>
      </c>
      <c r="G80" s="88"/>
      <c r="H80" s="90">
        <v>0</v>
      </c>
      <c r="I80" s="88"/>
      <c r="J80" s="90">
        <v>0</v>
      </c>
      <c r="L80" s="88"/>
      <c r="M80" s="88"/>
      <c r="P80" s="88"/>
      <c r="Q80" s="88"/>
    </row>
    <row r="81" spans="1:17" ht="19.149999999999999" customHeight="1">
      <c r="A81" s="78" t="s">
        <v>180</v>
      </c>
      <c r="D81" s="144">
        <v>-320473396</v>
      </c>
      <c r="E81" s="88"/>
      <c r="F81" s="88">
        <v>-688897170</v>
      </c>
      <c r="G81" s="88"/>
      <c r="H81" s="88">
        <v>-1500000</v>
      </c>
      <c r="I81" s="88"/>
      <c r="J81" s="88">
        <v>0</v>
      </c>
      <c r="L81" s="88"/>
      <c r="M81" s="88"/>
      <c r="P81" s="88"/>
      <c r="Q81" s="88"/>
    </row>
    <row r="82" spans="1:17" ht="19.149999999999999" customHeight="1">
      <c r="A82" s="78" t="s">
        <v>210</v>
      </c>
      <c r="B82" s="88"/>
      <c r="D82" s="144">
        <v>-6000000</v>
      </c>
      <c r="E82" s="88"/>
      <c r="F82" s="88">
        <v>-16950000</v>
      </c>
      <c r="G82" s="88"/>
      <c r="H82" s="88">
        <v>0</v>
      </c>
      <c r="I82" s="88"/>
      <c r="J82" s="88">
        <v>0</v>
      </c>
      <c r="L82" s="88"/>
      <c r="M82" s="88"/>
      <c r="P82" s="88"/>
      <c r="Q82" s="88"/>
    </row>
    <row r="83" spans="1:17" ht="19.149999999999999" customHeight="1">
      <c r="A83" s="78" t="s">
        <v>181</v>
      </c>
      <c r="D83" s="144">
        <v>-52805472</v>
      </c>
      <c r="E83" s="88"/>
      <c r="F83" s="79">
        <v>-35089789</v>
      </c>
      <c r="G83" s="88"/>
      <c r="H83" s="88">
        <v>-9095563</v>
      </c>
      <c r="I83" s="88"/>
      <c r="J83" s="88">
        <v>-3240027</v>
      </c>
      <c r="L83" s="88"/>
      <c r="M83" s="88"/>
      <c r="P83" s="88"/>
      <c r="Q83" s="88"/>
    </row>
    <row r="84" spans="1:17" ht="19.149999999999999" customHeight="1">
      <c r="A84" s="78" t="s">
        <v>182</v>
      </c>
      <c r="D84" s="176">
        <v>0</v>
      </c>
      <c r="E84" s="88"/>
      <c r="F84" s="91">
        <v>-130048103</v>
      </c>
      <c r="G84" s="88"/>
      <c r="H84" s="91">
        <v>0</v>
      </c>
      <c r="I84" s="88"/>
      <c r="J84" s="91">
        <v>-130048103</v>
      </c>
      <c r="L84" s="88"/>
      <c r="M84" s="88"/>
      <c r="P84" s="88"/>
      <c r="Q84" s="88"/>
    </row>
    <row r="85" spans="1:17" ht="19.149999999999999" customHeight="1">
      <c r="A85" s="73" t="s">
        <v>183</v>
      </c>
      <c r="D85" s="176">
        <f>SUM(D77:D84)</f>
        <v>-724163868</v>
      </c>
      <c r="E85" s="88"/>
      <c r="F85" s="91">
        <f>SUM(F77:F84)</f>
        <v>-821412092</v>
      </c>
      <c r="G85" s="88"/>
      <c r="H85" s="91">
        <f>SUM(H77:H84)</f>
        <v>125904437</v>
      </c>
      <c r="I85" s="88"/>
      <c r="J85" s="91">
        <f>SUM(J77:J84)</f>
        <v>116711870</v>
      </c>
      <c r="L85" s="88"/>
      <c r="M85" s="88"/>
      <c r="P85" s="88"/>
      <c r="Q85" s="88"/>
    </row>
    <row r="86" spans="1:17" ht="19.149999999999999" customHeight="1">
      <c r="A86" s="78" t="s">
        <v>184</v>
      </c>
      <c r="D86" s="144"/>
      <c r="E86" s="88"/>
      <c r="F86" s="88"/>
      <c r="G86" s="88"/>
      <c r="H86" s="88"/>
      <c r="I86" s="88"/>
      <c r="J86" s="88"/>
      <c r="L86" s="88"/>
      <c r="M86" s="88"/>
      <c r="P86" s="88"/>
      <c r="Q86" s="88"/>
    </row>
    <row r="87" spans="1:17" ht="19.149999999999999" customHeight="1">
      <c r="A87" s="78" t="s">
        <v>185</v>
      </c>
      <c r="D87" s="176">
        <v>-1288953</v>
      </c>
      <c r="E87" s="88"/>
      <c r="F87" s="91">
        <v>5512550</v>
      </c>
      <c r="G87" s="88"/>
      <c r="H87" s="91">
        <v>0</v>
      </c>
      <c r="I87" s="88"/>
      <c r="J87" s="91">
        <v>0</v>
      </c>
      <c r="L87" s="88"/>
      <c r="M87" s="88"/>
      <c r="P87" s="88"/>
      <c r="Q87" s="88"/>
    </row>
    <row r="88" spans="1:17" ht="19.149999999999999" customHeight="1">
      <c r="A88" s="73" t="s">
        <v>186</v>
      </c>
      <c r="D88" s="144">
        <f>SUM(D55,D74,D85,D87)</f>
        <v>274908314</v>
      </c>
      <c r="E88" s="88"/>
      <c r="F88" s="88">
        <f>SUM(F55,F74,F85,F87)</f>
        <v>446526110</v>
      </c>
      <c r="G88" s="88"/>
      <c r="H88" s="88">
        <f>SUM(H55,H74,H85,H87)</f>
        <v>374127216</v>
      </c>
      <c r="I88" s="88"/>
      <c r="J88" s="88">
        <f>SUM(J55,J74,J85,J87)</f>
        <v>-103349824</v>
      </c>
      <c r="L88" s="88"/>
      <c r="M88" s="88"/>
      <c r="P88" s="88"/>
      <c r="Q88" s="88"/>
    </row>
    <row r="89" spans="1:17" ht="19.149999999999999" customHeight="1">
      <c r="A89" s="78" t="s">
        <v>187</v>
      </c>
      <c r="D89" s="176">
        <v>1178455101</v>
      </c>
      <c r="E89" s="88"/>
      <c r="F89" s="91">
        <v>731928991</v>
      </c>
      <c r="G89" s="88"/>
      <c r="H89" s="91">
        <v>45351036</v>
      </c>
      <c r="I89" s="88"/>
      <c r="J89" s="91">
        <v>148700860</v>
      </c>
      <c r="L89" s="88"/>
      <c r="M89" s="88"/>
      <c r="P89" s="88"/>
      <c r="Q89" s="88"/>
    </row>
    <row r="90" spans="1:17" ht="19.149999999999999" customHeight="1" thickBot="1">
      <c r="A90" s="73" t="s">
        <v>214</v>
      </c>
      <c r="B90" s="98"/>
      <c r="D90" s="181">
        <f>SUM(D88:D89)</f>
        <v>1453363415</v>
      </c>
      <c r="E90" s="88"/>
      <c r="F90" s="99">
        <f>SUM(F88:F89)</f>
        <v>1178455101</v>
      </c>
      <c r="G90" s="88"/>
      <c r="H90" s="99">
        <f>SUM(H88:H89)</f>
        <v>419478252</v>
      </c>
      <c r="I90" s="88"/>
      <c r="J90" s="99">
        <f>SUM(J88:J89)</f>
        <v>45351036</v>
      </c>
      <c r="L90" s="88"/>
      <c r="M90" s="88"/>
      <c r="P90" s="88"/>
      <c r="Q90" s="88"/>
    </row>
    <row r="91" spans="1:17" ht="19.149999999999999" customHeight="1" thickTop="1">
      <c r="D91" s="174">
        <f>SUM(D90-bs!D9)</f>
        <v>0</v>
      </c>
      <c r="E91" s="89"/>
      <c r="F91" s="89">
        <f>SUM(F90-bs!F9)</f>
        <v>0</v>
      </c>
      <c r="G91" s="89"/>
      <c r="H91" s="89">
        <f>SUM(H90-bs!H9)</f>
        <v>0</v>
      </c>
      <c r="I91" s="89"/>
      <c r="J91" s="89">
        <f>SUM(J90-bs!J9)</f>
        <v>0</v>
      </c>
      <c r="L91" s="88"/>
      <c r="M91" s="88"/>
      <c r="P91" s="88"/>
      <c r="Q91" s="88"/>
    </row>
    <row r="92" spans="1:17" ht="19.149999999999999" customHeight="1">
      <c r="A92" s="73" t="s">
        <v>188</v>
      </c>
      <c r="D92" s="144"/>
      <c r="E92" s="88"/>
      <c r="F92" s="88"/>
      <c r="G92" s="88"/>
      <c r="H92" s="88"/>
      <c r="I92" s="88"/>
      <c r="J92" s="88"/>
      <c r="L92" s="88"/>
      <c r="M92" s="88"/>
      <c r="P92" s="88"/>
      <c r="Q92" s="88"/>
    </row>
    <row r="93" spans="1:17" ht="19.149999999999999" customHeight="1">
      <c r="A93" s="78" t="s">
        <v>189</v>
      </c>
      <c r="D93" s="144"/>
      <c r="E93" s="88"/>
      <c r="F93" s="88"/>
      <c r="G93" s="88"/>
      <c r="H93" s="88"/>
      <c r="I93" s="88"/>
      <c r="J93" s="88"/>
      <c r="L93" s="88"/>
      <c r="M93" s="88"/>
      <c r="P93" s="88"/>
      <c r="Q93" s="88"/>
    </row>
    <row r="94" spans="1:17" ht="19.149999999999999" customHeight="1">
      <c r="A94" s="78" t="s">
        <v>213</v>
      </c>
      <c r="D94" s="144">
        <v>94860228</v>
      </c>
      <c r="E94" s="88"/>
      <c r="F94" s="88">
        <v>-3932685</v>
      </c>
      <c r="G94" s="88"/>
      <c r="H94" s="88">
        <v>0</v>
      </c>
      <c r="I94" s="88"/>
      <c r="J94" s="88">
        <v>0</v>
      </c>
      <c r="L94" s="88"/>
      <c r="M94" s="88"/>
      <c r="P94" s="88"/>
      <c r="Q94" s="88"/>
    </row>
    <row r="95" spans="1:17" ht="19.149999999999999" customHeight="1">
      <c r="A95" s="78" t="s">
        <v>281</v>
      </c>
      <c r="D95" s="144">
        <v>6181174362</v>
      </c>
      <c r="E95" s="88"/>
      <c r="F95" s="88">
        <v>0</v>
      </c>
      <c r="G95" s="88"/>
      <c r="H95" s="88">
        <v>3422548</v>
      </c>
      <c r="I95" s="88"/>
      <c r="J95" s="88">
        <v>0</v>
      </c>
      <c r="L95" s="88"/>
      <c r="M95" s="88"/>
      <c r="P95" s="88"/>
      <c r="Q95" s="88"/>
    </row>
    <row r="96" spans="1:17" ht="19.149999999999999" customHeight="1">
      <c r="A96" s="78" t="s">
        <v>190</v>
      </c>
      <c r="D96" s="144">
        <v>53422360</v>
      </c>
      <c r="E96" s="88"/>
      <c r="F96" s="88">
        <v>55041411</v>
      </c>
      <c r="G96" s="88"/>
      <c r="H96" s="88">
        <v>0</v>
      </c>
      <c r="I96" s="88"/>
      <c r="J96" s="88">
        <v>0</v>
      </c>
      <c r="L96" s="88"/>
      <c r="M96" s="88"/>
      <c r="P96" s="88"/>
      <c r="Q96" s="88"/>
    </row>
    <row r="97" spans="1:17" ht="19.149999999999999" customHeight="1">
      <c r="A97" s="78" t="s">
        <v>191</v>
      </c>
      <c r="D97" s="144">
        <v>9416025</v>
      </c>
      <c r="E97" s="88"/>
      <c r="F97" s="88">
        <v>4530345</v>
      </c>
      <c r="G97" s="88"/>
      <c r="H97" s="88">
        <v>0</v>
      </c>
      <c r="I97" s="88"/>
      <c r="J97" s="88">
        <v>0</v>
      </c>
      <c r="L97" s="88"/>
      <c r="M97" s="88"/>
      <c r="P97" s="88"/>
      <c r="Q97" s="88"/>
    </row>
    <row r="98" spans="1:17" ht="19.149999999999999" customHeight="1">
      <c r="A98" s="78" t="s">
        <v>196</v>
      </c>
      <c r="D98" s="144">
        <v>16805511</v>
      </c>
      <c r="E98" s="88"/>
      <c r="F98" s="88">
        <v>52662784</v>
      </c>
      <c r="G98" s="88"/>
      <c r="H98" s="88">
        <v>10838577</v>
      </c>
      <c r="I98" s="88"/>
      <c r="J98" s="88">
        <v>4765192</v>
      </c>
      <c r="L98" s="88"/>
      <c r="M98" s="88"/>
      <c r="P98" s="88"/>
      <c r="Q98" s="88"/>
    </row>
    <row r="99" spans="1:17" ht="19.149999999999999" customHeight="1">
      <c r="A99" s="78" t="s">
        <v>192</v>
      </c>
      <c r="D99" s="144"/>
      <c r="E99" s="88"/>
      <c r="F99" s="88"/>
      <c r="G99" s="88"/>
      <c r="H99" s="88"/>
      <c r="I99" s="88"/>
      <c r="J99" s="88"/>
      <c r="L99" s="88"/>
      <c r="M99" s="88"/>
      <c r="P99" s="88"/>
      <c r="Q99" s="88"/>
    </row>
    <row r="100" spans="1:17" ht="19.149999999999999" customHeight="1">
      <c r="A100" s="78" t="s">
        <v>193</v>
      </c>
      <c r="D100" s="144">
        <v>22005000</v>
      </c>
      <c r="E100" s="88"/>
      <c r="F100" s="88">
        <v>89865224</v>
      </c>
      <c r="G100" s="88"/>
      <c r="H100" s="88">
        <v>0</v>
      </c>
      <c r="I100" s="88"/>
      <c r="J100" s="88">
        <v>0</v>
      </c>
      <c r="L100" s="88"/>
      <c r="M100" s="88"/>
      <c r="P100" s="88"/>
      <c r="Q100" s="88"/>
    </row>
    <row r="101" spans="1:17" ht="19.149999999999999" customHeight="1">
      <c r="A101" s="78" t="s">
        <v>194</v>
      </c>
      <c r="D101" s="144"/>
      <c r="E101" s="88"/>
      <c r="F101" s="88"/>
      <c r="G101" s="88"/>
      <c r="H101" s="88"/>
      <c r="I101" s="88"/>
      <c r="J101" s="88"/>
      <c r="L101" s="88"/>
      <c r="M101" s="88"/>
      <c r="P101" s="88"/>
      <c r="Q101" s="88"/>
    </row>
    <row r="102" spans="1:17" ht="19.149999999999999" customHeight="1">
      <c r="A102" s="78" t="s">
        <v>195</v>
      </c>
      <c r="D102" s="144">
        <v>54744115</v>
      </c>
      <c r="E102" s="88"/>
      <c r="F102" s="88">
        <v>60893623</v>
      </c>
      <c r="G102" s="88"/>
      <c r="H102" s="88">
        <v>0</v>
      </c>
      <c r="I102" s="88"/>
      <c r="J102" s="88">
        <v>0</v>
      </c>
      <c r="L102" s="88"/>
      <c r="M102" s="88"/>
      <c r="P102" s="88"/>
      <c r="Q102" s="88"/>
    </row>
    <row r="103" spans="1:17" ht="19.149999999999999" customHeight="1">
      <c r="A103" s="78" t="s">
        <v>278</v>
      </c>
      <c r="D103" s="144"/>
      <c r="E103" s="88"/>
      <c r="F103" s="88"/>
      <c r="G103" s="88"/>
      <c r="H103" s="88"/>
      <c r="I103" s="88"/>
      <c r="J103" s="88"/>
      <c r="L103" s="88"/>
      <c r="M103" s="88"/>
      <c r="P103" s="88"/>
      <c r="Q103" s="88"/>
    </row>
    <row r="104" spans="1:17" ht="19.149999999999999" customHeight="1">
      <c r="A104" s="78" t="s">
        <v>253</v>
      </c>
      <c r="D104" s="144">
        <v>36960000</v>
      </c>
      <c r="E104" s="88"/>
      <c r="F104" s="88">
        <v>0</v>
      </c>
      <c r="G104" s="88"/>
      <c r="H104" s="88">
        <v>0</v>
      </c>
      <c r="I104" s="88"/>
      <c r="J104" s="88">
        <v>0</v>
      </c>
      <c r="L104" s="88"/>
      <c r="M104" s="88"/>
      <c r="P104" s="88"/>
      <c r="Q104" s="88"/>
    </row>
    <row r="105" spans="1:17" ht="19.149999999999999" customHeight="1">
      <c r="A105" s="78" t="s">
        <v>279</v>
      </c>
      <c r="D105" s="144"/>
      <c r="E105" s="88"/>
      <c r="F105" s="88"/>
      <c r="G105" s="88"/>
      <c r="H105" s="88"/>
      <c r="I105" s="88"/>
      <c r="J105" s="88"/>
      <c r="L105" s="88"/>
      <c r="M105" s="88"/>
      <c r="P105" s="88"/>
      <c r="Q105" s="88"/>
    </row>
    <row r="106" spans="1:17" ht="19.149999999999999" customHeight="1">
      <c r="A106" s="78" t="s">
        <v>253</v>
      </c>
      <c r="D106" s="144">
        <v>58000000</v>
      </c>
      <c r="E106" s="88"/>
      <c r="F106" s="88">
        <v>0</v>
      </c>
      <c r="G106" s="88"/>
      <c r="H106" s="88">
        <v>0</v>
      </c>
      <c r="I106" s="88"/>
      <c r="J106" s="88">
        <v>0</v>
      </c>
      <c r="L106" s="88"/>
      <c r="M106" s="88"/>
      <c r="P106" s="88"/>
      <c r="Q106" s="88"/>
    </row>
    <row r="107" spans="1:17" ht="19.149999999999999" customHeight="1">
      <c r="A107" s="78" t="s">
        <v>236</v>
      </c>
      <c r="F107" s="77"/>
      <c r="J107" s="77"/>
      <c r="L107" s="88"/>
      <c r="M107" s="88"/>
      <c r="P107" s="88"/>
      <c r="Q107" s="88"/>
    </row>
    <row r="108" spans="1:17" ht="19.149999999999999" customHeight="1">
      <c r="A108" s="78" t="s">
        <v>245</v>
      </c>
      <c r="D108" s="144">
        <v>0</v>
      </c>
      <c r="E108" s="88"/>
      <c r="F108" s="88">
        <v>14318337</v>
      </c>
      <c r="G108" s="88"/>
      <c r="H108" s="88">
        <v>0</v>
      </c>
      <c r="I108" s="88"/>
      <c r="J108" s="88">
        <v>0</v>
      </c>
      <c r="L108" s="88"/>
      <c r="M108" s="88"/>
      <c r="P108" s="88"/>
      <c r="Q108" s="88"/>
    </row>
    <row r="109" spans="1:17" ht="19.149999999999999" customHeight="1">
      <c r="E109" s="88"/>
      <c r="F109" s="88"/>
      <c r="G109" s="88"/>
      <c r="I109" s="88"/>
      <c r="J109" s="77"/>
      <c r="L109" s="88"/>
      <c r="M109" s="88"/>
      <c r="P109" s="88"/>
      <c r="Q109" s="88"/>
    </row>
    <row r="110" spans="1:17" ht="19.149999999999999" customHeight="1">
      <c r="A110" s="78" t="s">
        <v>18</v>
      </c>
      <c r="E110" s="79"/>
      <c r="G110" s="79"/>
      <c r="I110" s="79"/>
    </row>
  </sheetData>
  <pageMargins left="0.78740157480314965" right="0.39370078740157483" top="0.78740157480314965" bottom="0.39370078740157483" header="0.19685039370078741" footer="0.19685039370078741"/>
  <pageSetup paperSize="9" scale="69" orientation="portrait" r:id="rId1"/>
  <rowBreaks count="1" manualBreakCount="1">
    <brk id="5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39997558519241921"/>
  </sheetPr>
  <dimension ref="A1:Q81"/>
  <sheetViews>
    <sheetView showGridLines="0" zoomScaleNormal="100" zoomScaleSheetLayoutView="100" workbookViewId="0">
      <selection activeCell="R19" sqref="R19"/>
    </sheetView>
  </sheetViews>
  <sheetFormatPr defaultColWidth="9.28515625" defaultRowHeight="21.75" customHeight="1"/>
  <cols>
    <col min="1" max="1" width="57.7109375" style="20" customWidth="1"/>
    <col min="2" max="2" width="4.7109375" style="20" customWidth="1"/>
    <col min="3" max="3" width="1.7109375" style="20" customWidth="1"/>
    <col min="4" max="4" width="15.7109375" style="19" hidden="1" customWidth="1"/>
    <col min="5" max="5" width="1.7109375" style="20" customWidth="1"/>
    <col min="6" max="6" width="15.7109375" style="19" customWidth="1"/>
    <col min="7" max="7" width="1.7109375" style="20" customWidth="1"/>
    <col min="8" max="8" width="15.7109375" style="19" customWidth="1"/>
    <col min="9" max="9" width="1.7109375" style="20" customWidth="1"/>
    <col min="10" max="10" width="15.7109375" style="19" customWidth="1"/>
    <col min="11" max="11" width="16.28515625" style="20" bestFit="1" customWidth="1"/>
    <col min="12" max="12" width="16.5703125" style="33" bestFit="1" customWidth="1"/>
    <col min="13" max="13" width="17.28515625" style="33" bestFit="1" customWidth="1"/>
    <col min="14" max="14" width="14.42578125" style="33" customWidth="1"/>
    <col min="15" max="15" width="15" style="33" bestFit="1" customWidth="1"/>
    <col min="16" max="16" width="13.5703125" style="33" bestFit="1" customWidth="1"/>
    <col min="17" max="17" width="9.28515625" style="33"/>
    <col min="18" max="16384" width="9.28515625" style="20"/>
  </cols>
  <sheetData>
    <row r="1" spans="1:17" s="16" customFormat="1" ht="21.75" customHeight="1">
      <c r="A1" s="16" t="s">
        <v>0</v>
      </c>
      <c r="D1" s="17"/>
      <c r="F1" s="17"/>
      <c r="H1" s="17"/>
      <c r="J1" s="17"/>
      <c r="L1" s="68"/>
      <c r="M1" s="68"/>
      <c r="N1" s="68"/>
      <c r="O1" s="68"/>
      <c r="P1" s="68"/>
      <c r="Q1" s="68"/>
    </row>
    <row r="2" spans="1:17" s="16" customFormat="1" ht="21.75" customHeight="1">
      <c r="A2" s="16" t="s">
        <v>92</v>
      </c>
      <c r="D2" s="17"/>
      <c r="F2" s="17"/>
      <c r="H2" s="17"/>
      <c r="J2" s="17"/>
      <c r="L2" s="68"/>
      <c r="M2" s="68"/>
      <c r="N2" s="68"/>
      <c r="O2" s="68"/>
      <c r="P2" s="68"/>
      <c r="Q2" s="68"/>
    </row>
    <row r="3" spans="1:17" s="16" customFormat="1" ht="21.75" customHeight="1">
      <c r="A3" s="16" t="s">
        <v>246</v>
      </c>
      <c r="D3" s="17"/>
      <c r="F3" s="17"/>
      <c r="H3" s="17"/>
      <c r="J3" s="17"/>
      <c r="L3" s="68"/>
      <c r="M3" s="68"/>
      <c r="N3" s="68"/>
      <c r="O3" s="68"/>
      <c r="P3" s="68"/>
      <c r="Q3" s="68"/>
    </row>
    <row r="4" spans="1:17" s="18" customFormat="1" ht="21.75" customHeight="1">
      <c r="D4" s="19"/>
      <c r="E4" s="20"/>
      <c r="F4" s="19"/>
      <c r="G4" s="20"/>
      <c r="H4" s="21"/>
      <c r="I4" s="20"/>
      <c r="J4" s="21" t="s">
        <v>1</v>
      </c>
      <c r="L4" s="69"/>
      <c r="M4" s="69"/>
      <c r="N4" s="69"/>
      <c r="O4" s="69"/>
      <c r="P4" s="69"/>
      <c r="Q4" s="69"/>
    </row>
    <row r="5" spans="1:17" s="22" customFormat="1" ht="21.75" customHeight="1">
      <c r="D5" s="23"/>
      <c r="E5" s="101" t="s">
        <v>2</v>
      </c>
      <c r="F5" s="23"/>
      <c r="H5" s="23"/>
      <c r="I5" s="101"/>
      <c r="J5" s="23"/>
      <c r="L5" s="70"/>
      <c r="M5" s="70"/>
      <c r="N5" s="70"/>
      <c r="O5" s="70"/>
      <c r="P5" s="70"/>
      <c r="Q5" s="70"/>
    </row>
    <row r="6" spans="1:17" s="18" customFormat="1" ht="21.75" customHeight="1">
      <c r="B6" s="66" t="s">
        <v>4</v>
      </c>
      <c r="D6" s="66">
        <v>2023</v>
      </c>
      <c r="F6" s="66">
        <v>2022</v>
      </c>
      <c r="H6" s="66" t="s">
        <v>259</v>
      </c>
      <c r="J6" s="66" t="s">
        <v>260</v>
      </c>
      <c r="L6" s="69"/>
      <c r="M6" s="69"/>
      <c r="N6" s="69"/>
      <c r="O6" s="69"/>
      <c r="P6" s="69"/>
      <c r="Q6" s="69"/>
    </row>
    <row r="7" spans="1:17" ht="21.75" customHeight="1">
      <c r="A7" s="16" t="s">
        <v>134</v>
      </c>
      <c r="B7" s="26">
        <v>29</v>
      </c>
    </row>
    <row r="8" spans="1:17" ht="21.75" customHeight="1">
      <c r="A8" s="27" t="s">
        <v>121</v>
      </c>
      <c r="D8" s="43">
        <v>3700579453</v>
      </c>
      <c r="E8" s="28">
        <v>0</v>
      </c>
      <c r="F8" s="43">
        <v>2397982387</v>
      </c>
      <c r="G8" s="28">
        <v>0</v>
      </c>
      <c r="H8" s="43"/>
      <c r="I8" s="28">
        <v>0</v>
      </c>
      <c r="J8" s="43">
        <f>+F8+H8</f>
        <v>2397982387</v>
      </c>
    </row>
    <row r="9" spans="1:17" ht="21.75" customHeight="1">
      <c r="A9" s="27" t="s">
        <v>122</v>
      </c>
      <c r="B9" s="26"/>
      <c r="D9" s="43">
        <v>2263034611</v>
      </c>
      <c r="E9" s="28">
        <v>0</v>
      </c>
      <c r="F9" s="43">
        <v>2314067434</v>
      </c>
      <c r="G9" s="28">
        <v>0</v>
      </c>
      <c r="H9" s="28"/>
      <c r="I9" s="28">
        <v>0</v>
      </c>
      <c r="J9" s="43">
        <f t="shared" ref="J9:J10" si="0">+F9+H9</f>
        <v>2314067434</v>
      </c>
    </row>
    <row r="10" spans="1:17" ht="21.75" customHeight="1">
      <c r="A10" s="27" t="s">
        <v>120</v>
      </c>
      <c r="B10" s="26"/>
      <c r="D10" s="43">
        <v>35056274</v>
      </c>
      <c r="E10" s="28">
        <v>0</v>
      </c>
      <c r="F10" s="43">
        <v>35801267</v>
      </c>
      <c r="G10" s="28">
        <v>0</v>
      </c>
      <c r="H10" s="43"/>
      <c r="I10" s="28">
        <v>0</v>
      </c>
      <c r="J10" s="43">
        <f t="shared" si="0"/>
        <v>35801267</v>
      </c>
    </row>
    <row r="11" spans="1:17" ht="21.75" customHeight="1">
      <c r="A11" s="20" t="s">
        <v>42</v>
      </c>
      <c r="B11" s="26">
        <v>30</v>
      </c>
      <c r="D11" s="44">
        <v>117900773</v>
      </c>
      <c r="E11" s="28">
        <v>0</v>
      </c>
      <c r="F11" s="44">
        <v>48818357</v>
      </c>
      <c r="G11" s="28">
        <v>0</v>
      </c>
      <c r="H11" s="44"/>
      <c r="I11" s="28">
        <v>0</v>
      </c>
      <c r="J11" s="44">
        <f>+F11+H11</f>
        <v>48818357</v>
      </c>
    </row>
    <row r="12" spans="1:17" ht="21.75" customHeight="1">
      <c r="A12" s="16" t="s">
        <v>135</v>
      </c>
      <c r="B12" s="26"/>
      <c r="D12" s="44">
        <f>SUM(D8:D11)</f>
        <v>6116571111</v>
      </c>
      <c r="E12" s="28"/>
      <c r="F12" s="44">
        <f>SUM(F8:F11)</f>
        <v>4796669445</v>
      </c>
      <c r="G12" s="28"/>
      <c r="H12" s="44">
        <f>SUM(H8:H11)</f>
        <v>0</v>
      </c>
      <c r="I12" s="28"/>
      <c r="J12" s="44">
        <f>SUM(J8:J11)</f>
        <v>4796669445</v>
      </c>
    </row>
    <row r="13" spans="1:17" ht="21.75" customHeight="1">
      <c r="A13" s="16" t="s">
        <v>43</v>
      </c>
      <c r="B13" s="26"/>
      <c r="D13" s="43"/>
      <c r="E13" s="28"/>
      <c r="F13" s="43"/>
      <c r="G13" s="28"/>
      <c r="H13" s="28"/>
      <c r="I13" s="28"/>
      <c r="J13" s="28"/>
      <c r="M13" s="33" t="s">
        <v>254</v>
      </c>
    </row>
    <row r="14" spans="1:17" ht="21.75" customHeight="1">
      <c r="A14" s="20" t="s">
        <v>44</v>
      </c>
      <c r="B14" s="26"/>
      <c r="D14" s="43">
        <v>2320296024</v>
      </c>
      <c r="E14" s="28">
        <v>0</v>
      </c>
      <c r="F14" s="43">
        <f>1585130537+5195695-8526957</f>
        <v>1581799275</v>
      </c>
      <c r="G14" s="28">
        <v>0</v>
      </c>
      <c r="H14" s="43">
        <f>+M18</f>
        <v>210296345.23999998</v>
      </c>
      <c r="I14" s="28">
        <v>0</v>
      </c>
      <c r="J14" s="43">
        <f>+F14+H14</f>
        <v>1792095620.24</v>
      </c>
      <c r="L14" s="33" t="s">
        <v>255</v>
      </c>
      <c r="M14" s="33">
        <v>81804588.449999988</v>
      </c>
    </row>
    <row r="15" spans="1:17" ht="21.75" customHeight="1">
      <c r="A15" s="20" t="s">
        <v>45</v>
      </c>
      <c r="B15" s="26"/>
      <c r="D15" s="43">
        <v>1170393034</v>
      </c>
      <c r="E15" s="28">
        <v>0</v>
      </c>
      <c r="F15" s="43">
        <f>1316036606+6290303</f>
        <v>1322326909</v>
      </c>
      <c r="G15" s="28">
        <v>0</v>
      </c>
      <c r="H15" s="28"/>
      <c r="I15" s="28">
        <v>0</v>
      </c>
      <c r="J15" s="28">
        <f>+F15+H15</f>
        <v>1322326909</v>
      </c>
      <c r="L15" s="33" t="s">
        <v>256</v>
      </c>
      <c r="M15" s="33">
        <v>51689827.060000002</v>
      </c>
    </row>
    <row r="16" spans="1:17" ht="21.75" customHeight="1">
      <c r="A16" s="20" t="s">
        <v>46</v>
      </c>
      <c r="B16" s="26"/>
      <c r="D16" s="43">
        <v>32018773</v>
      </c>
      <c r="E16" s="28">
        <v>0</v>
      </c>
      <c r="F16" s="43">
        <v>25544012</v>
      </c>
      <c r="G16" s="28">
        <v>0</v>
      </c>
      <c r="H16" s="43"/>
      <c r="I16" s="28">
        <v>0</v>
      </c>
      <c r="J16" s="43">
        <f>+F16+H16</f>
        <v>25544012</v>
      </c>
      <c r="L16" s="33" t="s">
        <v>257</v>
      </c>
      <c r="M16" s="33">
        <v>64671215.769999996</v>
      </c>
    </row>
    <row r="17" spans="1:17" ht="21.75" customHeight="1">
      <c r="A17" s="20" t="s">
        <v>47</v>
      </c>
      <c r="B17" s="26"/>
      <c r="D17" s="43">
        <v>694641763</v>
      </c>
      <c r="E17" s="28">
        <v>0</v>
      </c>
      <c r="F17" s="43">
        <v>479555173</v>
      </c>
      <c r="G17" s="28">
        <v>0</v>
      </c>
      <c r="H17" s="43"/>
      <c r="I17" s="28">
        <v>0</v>
      </c>
      <c r="J17" s="43">
        <f>+F17+H17</f>
        <v>479555173</v>
      </c>
      <c r="L17" s="33" t="s">
        <v>258</v>
      </c>
      <c r="M17" s="33">
        <v>12130713.960000003</v>
      </c>
    </row>
    <row r="18" spans="1:17" ht="21.75" customHeight="1" thickBot="1">
      <c r="A18" s="20" t="s">
        <v>48</v>
      </c>
      <c r="B18" s="26"/>
      <c r="D18" s="43">
        <v>1183117729</v>
      </c>
      <c r="E18" s="28">
        <v>0</v>
      </c>
      <c r="F18" s="43">
        <v>1263241169</v>
      </c>
      <c r="G18" s="28">
        <v>0</v>
      </c>
      <c r="H18" s="43">
        <f>-H14</f>
        <v>-210296345.23999998</v>
      </c>
      <c r="I18" s="28">
        <v>0</v>
      </c>
      <c r="J18" s="43">
        <f>+F18+H18</f>
        <v>1052944823.76</v>
      </c>
      <c r="M18" s="106">
        <f>SUM(M14:M17)</f>
        <v>210296345.23999998</v>
      </c>
    </row>
    <row r="19" spans="1:17" ht="21.75" customHeight="1" thickTop="1">
      <c r="A19" s="16" t="s">
        <v>49</v>
      </c>
      <c r="B19" s="26"/>
      <c r="D19" s="45">
        <f>SUM(D14:D18)</f>
        <v>5400467323</v>
      </c>
      <c r="E19" s="28"/>
      <c r="F19" s="45">
        <f>SUM(F14:F18)</f>
        <v>4672466538</v>
      </c>
      <c r="G19" s="28"/>
      <c r="H19" s="45">
        <f>SUM(H14:H18)</f>
        <v>0</v>
      </c>
      <c r="I19" s="28"/>
      <c r="J19" s="45">
        <f>SUM(J14:J18)</f>
        <v>4672466538</v>
      </c>
    </row>
    <row r="20" spans="1:17" ht="21.75" customHeight="1">
      <c r="A20" s="16" t="s">
        <v>226</v>
      </c>
      <c r="B20" s="26"/>
      <c r="D20" s="43">
        <f>D12-D19</f>
        <v>716103788</v>
      </c>
      <c r="E20" s="28"/>
      <c r="F20" s="43">
        <f>F12-F19</f>
        <v>124202907</v>
      </c>
      <c r="G20" s="28"/>
      <c r="H20" s="43">
        <f>H12-H19</f>
        <v>0</v>
      </c>
      <c r="I20" s="28"/>
      <c r="J20" s="43">
        <f>J12-J19</f>
        <v>124202907</v>
      </c>
    </row>
    <row r="21" spans="1:17" ht="21.75" customHeight="1">
      <c r="A21" s="20" t="s">
        <v>119</v>
      </c>
      <c r="B21" s="26">
        <v>17</v>
      </c>
      <c r="D21" s="30">
        <v>9707176</v>
      </c>
      <c r="E21" s="28">
        <v>0</v>
      </c>
      <c r="F21" s="30">
        <v>28529666</v>
      </c>
      <c r="G21" s="28">
        <v>0</v>
      </c>
      <c r="H21" s="30"/>
      <c r="I21" s="28">
        <v>0</v>
      </c>
      <c r="J21" s="30">
        <f>+F21+H21</f>
        <v>28529666</v>
      </c>
      <c r="Q21" s="71"/>
    </row>
    <row r="22" spans="1:17" ht="21.75" customHeight="1">
      <c r="A22" s="20" t="s">
        <v>133</v>
      </c>
      <c r="B22" s="26"/>
      <c r="D22" s="30">
        <v>45849700</v>
      </c>
      <c r="E22" s="28">
        <v>0</v>
      </c>
      <c r="F22" s="30">
        <v>40919275</v>
      </c>
      <c r="G22" s="28">
        <v>0</v>
      </c>
      <c r="H22" s="30"/>
      <c r="I22" s="28">
        <v>0</v>
      </c>
      <c r="J22" s="30">
        <f>+F22+H22</f>
        <v>40919275</v>
      </c>
      <c r="Q22" s="71"/>
    </row>
    <row r="23" spans="1:17" ht="21.75" customHeight="1">
      <c r="A23" s="20" t="s">
        <v>50</v>
      </c>
      <c r="B23" s="26">
        <v>31</v>
      </c>
      <c r="D23" s="44">
        <v>-209398793</v>
      </c>
      <c r="E23" s="28">
        <v>0</v>
      </c>
      <c r="F23" s="44">
        <f>-200521276-1362756</f>
        <v>-201884032</v>
      </c>
      <c r="G23" s="28">
        <v>0</v>
      </c>
      <c r="H23" s="44"/>
      <c r="I23" s="28">
        <v>0</v>
      </c>
      <c r="J23" s="44">
        <f>+F23+H23</f>
        <v>-201884032</v>
      </c>
    </row>
    <row r="24" spans="1:17" ht="21.75" customHeight="1">
      <c r="A24" s="16" t="s">
        <v>142</v>
      </c>
      <c r="B24" s="26"/>
      <c r="D24" s="46">
        <f>SUM(D20:D23)</f>
        <v>562261871</v>
      </c>
      <c r="E24" s="28"/>
      <c r="F24" s="46">
        <f>SUM(F20:F23)</f>
        <v>-8232184</v>
      </c>
      <c r="G24" s="28"/>
      <c r="H24" s="46">
        <f>SUM(H20:H23)</f>
        <v>0</v>
      </c>
      <c r="I24" s="28"/>
      <c r="J24" s="46">
        <f>SUM(J20:J23)</f>
        <v>-8232184</v>
      </c>
      <c r="Q24" s="71"/>
    </row>
    <row r="25" spans="1:17" ht="21.75" customHeight="1">
      <c r="A25" s="20" t="s">
        <v>227</v>
      </c>
      <c r="B25" s="26">
        <v>33</v>
      </c>
      <c r="D25" s="44">
        <v>-188675148</v>
      </c>
      <c r="E25" s="28">
        <v>0</v>
      </c>
      <c r="F25" s="44">
        <v>13504746</v>
      </c>
      <c r="G25" s="28">
        <v>0</v>
      </c>
      <c r="H25" s="44"/>
      <c r="I25" s="28">
        <v>0</v>
      </c>
      <c r="J25" s="44">
        <f>+F25+H25</f>
        <v>13504746</v>
      </c>
    </row>
    <row r="26" spans="1:17" ht="21.75" customHeight="1" thickBot="1">
      <c r="A26" s="16" t="s">
        <v>198</v>
      </c>
      <c r="B26" s="26"/>
      <c r="D26" s="47">
        <f>SUM(D24:D25)</f>
        <v>373586723</v>
      </c>
      <c r="E26" s="28"/>
      <c r="F26" s="47">
        <f>SUM(F24:F25)</f>
        <v>5272562</v>
      </c>
      <c r="G26" s="28"/>
      <c r="H26" s="47">
        <f>SUM(H24:H25)</f>
        <v>0</v>
      </c>
      <c r="I26" s="28"/>
      <c r="J26" s="47">
        <f>SUM(J24:J25)</f>
        <v>5272562</v>
      </c>
    </row>
    <row r="27" spans="1:17" ht="21.75" customHeight="1" thickTop="1">
      <c r="A27" s="16"/>
      <c r="B27" s="26"/>
      <c r="D27" s="28"/>
      <c r="E27" s="28"/>
      <c r="F27" s="28"/>
      <c r="G27" s="28"/>
      <c r="I27" s="28"/>
    </row>
    <row r="28" spans="1:17" ht="21.75" customHeight="1">
      <c r="A28" s="16" t="s">
        <v>112</v>
      </c>
      <c r="B28" s="26"/>
      <c r="D28" s="28"/>
      <c r="E28" s="28"/>
      <c r="F28" s="28"/>
      <c r="G28" s="28"/>
      <c r="I28" s="28"/>
    </row>
    <row r="29" spans="1:17" ht="21.75" customHeight="1" thickBot="1">
      <c r="A29" s="20" t="s">
        <v>71</v>
      </c>
      <c r="B29" s="26"/>
      <c r="D29" s="48">
        <f>SUM(D26-D30)</f>
        <v>365571518</v>
      </c>
      <c r="E29" s="28"/>
      <c r="F29" s="48">
        <f>SUM(F26-F30)</f>
        <v>7106270</v>
      </c>
      <c r="G29" s="28"/>
      <c r="H29" s="49">
        <f>H26</f>
        <v>0</v>
      </c>
      <c r="I29" s="28"/>
      <c r="J29" s="49">
        <f>+F29+H29</f>
        <v>7106270</v>
      </c>
    </row>
    <row r="30" spans="1:17" ht="21.75" customHeight="1" thickTop="1">
      <c r="A30" s="20" t="s">
        <v>70</v>
      </c>
      <c r="B30" s="26"/>
      <c r="D30" s="44">
        <v>8015205</v>
      </c>
      <c r="E30" s="28"/>
      <c r="F30" s="44">
        <v>-1833708</v>
      </c>
      <c r="G30" s="28"/>
      <c r="I30" s="28"/>
    </row>
    <row r="31" spans="1:17" ht="21.75" customHeight="1" thickBot="1">
      <c r="B31" s="26"/>
      <c r="D31" s="31">
        <f>SUM(D29:D30)</f>
        <v>373586723</v>
      </c>
      <c r="E31" s="28"/>
      <c r="F31" s="31">
        <f>SUM(F29:F30)</f>
        <v>5272562</v>
      </c>
      <c r="G31" s="28"/>
      <c r="I31" s="28"/>
    </row>
    <row r="32" spans="1:17" ht="21.75" customHeight="1" thickTop="1">
      <c r="B32" s="26"/>
      <c r="D32" s="28"/>
      <c r="E32" s="28"/>
      <c r="F32" s="28"/>
      <c r="G32" s="28"/>
      <c r="I32" s="28"/>
    </row>
    <row r="33" spans="1:17" ht="21.75" customHeight="1">
      <c r="A33" s="16" t="s">
        <v>230</v>
      </c>
      <c r="B33" s="26">
        <v>34</v>
      </c>
      <c r="D33" s="28"/>
      <c r="E33" s="28"/>
      <c r="F33" s="28"/>
      <c r="G33" s="28"/>
      <c r="I33" s="28"/>
    </row>
    <row r="34" spans="1:17" ht="21.75" customHeight="1">
      <c r="A34" s="16" t="s">
        <v>228</v>
      </c>
      <c r="B34" s="26"/>
      <c r="D34" s="33"/>
      <c r="F34" s="33"/>
    </row>
    <row r="35" spans="1:17" ht="21.75" customHeight="1" thickBot="1">
      <c r="A35" s="20" t="s">
        <v>229</v>
      </c>
      <c r="B35" s="26"/>
      <c r="D35" s="32">
        <f>+D29/166682701</f>
        <v>2.1932181072587729</v>
      </c>
      <c r="E35" s="33"/>
      <c r="F35" s="32">
        <f>+F29/166682701</f>
        <v>4.2633518399728836E-2</v>
      </c>
      <c r="G35" s="33"/>
      <c r="H35" s="32">
        <f>H29/166682701</f>
        <v>0</v>
      </c>
      <c r="I35" s="33"/>
      <c r="J35" s="32">
        <f>J29/166682701</f>
        <v>4.2633518399728836E-2</v>
      </c>
    </row>
    <row r="36" spans="1:17" ht="21.75" customHeight="1" thickTop="1"/>
    <row r="37" spans="1:17" ht="21.75" customHeight="1">
      <c r="A37" s="20" t="s">
        <v>18</v>
      </c>
      <c r="B37" s="18"/>
      <c r="E37" s="28"/>
      <c r="G37" s="28"/>
      <c r="I37" s="28"/>
    </row>
    <row r="38" spans="1:17" s="16" customFormat="1" ht="21.75" customHeight="1">
      <c r="A38" s="16" t="s">
        <v>0</v>
      </c>
      <c r="D38" s="17"/>
      <c r="F38" s="17"/>
      <c r="H38" s="17"/>
      <c r="J38" s="17"/>
      <c r="L38" s="33"/>
      <c r="M38" s="33"/>
      <c r="N38" s="33"/>
      <c r="O38" s="33"/>
      <c r="P38" s="33"/>
      <c r="Q38" s="68"/>
    </row>
    <row r="39" spans="1:17" s="16" customFormat="1" ht="21.75" customHeight="1">
      <c r="A39" s="16" t="s">
        <v>98</v>
      </c>
      <c r="D39" s="17"/>
      <c r="F39" s="17"/>
      <c r="H39" s="17"/>
      <c r="J39" s="17"/>
      <c r="L39" s="33"/>
      <c r="M39" s="33"/>
      <c r="N39" s="33"/>
      <c r="O39" s="33"/>
      <c r="P39" s="33"/>
      <c r="Q39" s="68"/>
    </row>
    <row r="40" spans="1:17" s="16" customFormat="1" ht="21.75" customHeight="1">
      <c r="A40" s="16" t="str">
        <f>A3</f>
        <v>For the year ended 31 December 2023</v>
      </c>
      <c r="D40" s="17"/>
      <c r="F40" s="17"/>
      <c r="H40" s="17"/>
      <c r="J40" s="17"/>
      <c r="L40" s="33"/>
      <c r="M40" s="33"/>
      <c r="N40" s="33"/>
      <c r="O40" s="33"/>
      <c r="P40" s="33"/>
      <c r="Q40" s="68"/>
    </row>
    <row r="41" spans="1:17" s="18" customFormat="1" ht="21.75" customHeight="1">
      <c r="D41" s="19"/>
      <c r="E41" s="20"/>
      <c r="F41" s="19"/>
      <c r="G41" s="20"/>
      <c r="H41" s="21"/>
      <c r="I41" s="20"/>
      <c r="J41" s="21" t="s">
        <v>1</v>
      </c>
      <c r="L41" s="33"/>
      <c r="M41" s="33"/>
      <c r="N41" s="33"/>
      <c r="O41" s="33"/>
      <c r="P41" s="33"/>
      <c r="Q41" s="69"/>
    </row>
    <row r="42" spans="1:17" s="22" customFormat="1" ht="21.75" customHeight="1">
      <c r="D42" s="23"/>
      <c r="E42" s="101" t="s">
        <v>2</v>
      </c>
      <c r="F42" s="23"/>
      <c r="H42" s="23"/>
      <c r="I42" s="101" t="s">
        <v>3</v>
      </c>
      <c r="J42" s="23"/>
      <c r="L42" s="33"/>
      <c r="M42" s="33"/>
      <c r="N42" s="33"/>
      <c r="O42" s="33"/>
      <c r="P42" s="33"/>
      <c r="Q42" s="70"/>
    </row>
    <row r="43" spans="1:17" s="18" customFormat="1" ht="21.75" customHeight="1">
      <c r="B43" s="66" t="s">
        <v>4</v>
      </c>
      <c r="D43" s="66">
        <f>D6</f>
        <v>2023</v>
      </c>
      <c r="F43" s="66">
        <f>F6</f>
        <v>2022</v>
      </c>
      <c r="H43" s="66" t="str">
        <f>H6</f>
        <v>Adjustment</v>
      </c>
      <c r="J43" s="66" t="str">
        <f>J6</f>
        <v>After adjustment  2022</v>
      </c>
      <c r="L43" s="33"/>
      <c r="M43" s="33"/>
      <c r="N43" s="33"/>
      <c r="O43" s="33"/>
      <c r="P43" s="33"/>
      <c r="Q43" s="69"/>
    </row>
    <row r="44" spans="1:17" s="18" customFormat="1" ht="21.75" customHeight="1">
      <c r="B44" s="19"/>
      <c r="D44" s="24"/>
      <c r="F44" s="25"/>
      <c r="H44" s="24"/>
      <c r="J44" s="25"/>
      <c r="L44" s="33"/>
      <c r="M44" s="33"/>
      <c r="N44" s="33"/>
      <c r="O44" s="33"/>
      <c r="P44" s="33"/>
      <c r="Q44" s="69"/>
    </row>
    <row r="45" spans="1:17" ht="21.75" customHeight="1" thickBot="1">
      <c r="A45" s="16" t="s">
        <v>198</v>
      </c>
      <c r="B45" s="18"/>
      <c r="D45" s="31">
        <f>+D31</f>
        <v>373586723</v>
      </c>
      <c r="E45" s="28"/>
      <c r="F45" s="31">
        <f>+F31</f>
        <v>5272562</v>
      </c>
      <c r="G45" s="28"/>
      <c r="H45" s="31">
        <f>+H29</f>
        <v>0</v>
      </c>
      <c r="I45" s="28"/>
      <c r="J45" s="31">
        <f>+J29</f>
        <v>7106270</v>
      </c>
    </row>
    <row r="46" spans="1:17" ht="21.75" customHeight="1" thickTop="1">
      <c r="A46" s="16"/>
      <c r="B46" s="18"/>
      <c r="D46" s="28"/>
      <c r="E46" s="28"/>
      <c r="F46" s="28"/>
      <c r="G46" s="28"/>
      <c r="H46" s="28"/>
      <c r="I46" s="28"/>
      <c r="J46" s="28"/>
    </row>
    <row r="47" spans="1:17" ht="21.75" customHeight="1">
      <c r="A47" s="16" t="s">
        <v>199</v>
      </c>
      <c r="B47" s="18"/>
      <c r="D47" s="28"/>
      <c r="E47" s="28"/>
      <c r="F47" s="28"/>
      <c r="G47" s="28"/>
      <c r="H47" s="28"/>
      <c r="I47" s="28"/>
      <c r="J47" s="28"/>
    </row>
    <row r="48" spans="1:17" ht="21.75" customHeight="1">
      <c r="A48" s="34" t="s">
        <v>211</v>
      </c>
      <c r="B48" s="18"/>
      <c r="D48" s="28"/>
      <c r="E48" s="28"/>
      <c r="F48" s="28"/>
      <c r="G48" s="28"/>
      <c r="H48" s="28"/>
      <c r="I48" s="28"/>
      <c r="J48" s="28"/>
    </row>
    <row r="49" spans="1:11" ht="21.75" customHeight="1">
      <c r="A49" s="34" t="s">
        <v>111</v>
      </c>
      <c r="B49" s="18"/>
      <c r="D49" s="28"/>
      <c r="E49" s="28"/>
      <c r="F49" s="28"/>
      <c r="G49" s="28"/>
      <c r="H49" s="28"/>
      <c r="I49" s="28"/>
      <c r="J49" s="28"/>
    </row>
    <row r="50" spans="1:11" ht="21.75" customHeight="1">
      <c r="A50" s="20" t="s">
        <v>115</v>
      </c>
      <c r="B50" s="26"/>
      <c r="D50" s="28"/>
      <c r="E50" s="28"/>
      <c r="F50" s="28"/>
      <c r="G50" s="28"/>
      <c r="H50" s="28"/>
      <c r="I50" s="28"/>
      <c r="J50" s="28"/>
    </row>
    <row r="51" spans="1:11" ht="21.75" customHeight="1">
      <c r="A51" s="20" t="s">
        <v>132</v>
      </c>
      <c r="B51" s="26"/>
      <c r="D51" s="42">
        <v>467135.1799999997</v>
      </c>
      <c r="E51" s="28">
        <v>0</v>
      </c>
      <c r="F51" s="42">
        <v>10237281</v>
      </c>
      <c r="G51" s="28"/>
      <c r="H51" s="30">
        <v>0</v>
      </c>
      <c r="I51" s="28"/>
      <c r="J51" s="30">
        <v>0</v>
      </c>
    </row>
    <row r="52" spans="1:11" ht="21.75" customHeight="1">
      <c r="A52" s="20" t="s">
        <v>200</v>
      </c>
      <c r="B52" s="26">
        <v>17</v>
      </c>
      <c r="D52" s="103">
        <v>-3127704.2447999995</v>
      </c>
      <c r="E52" s="28">
        <v>0</v>
      </c>
      <c r="F52" s="40">
        <v>-11022337</v>
      </c>
      <c r="G52" s="28"/>
      <c r="H52" s="40">
        <v>0</v>
      </c>
      <c r="I52" s="28"/>
      <c r="J52" s="40">
        <v>0</v>
      </c>
    </row>
    <row r="53" spans="1:11" ht="21.75" customHeight="1">
      <c r="A53" s="20" t="s">
        <v>211</v>
      </c>
      <c r="B53" s="26"/>
      <c r="D53" s="30"/>
      <c r="E53" s="28"/>
      <c r="F53" s="30"/>
      <c r="G53" s="28"/>
      <c r="H53" s="30"/>
      <c r="I53" s="28"/>
      <c r="J53" s="30"/>
    </row>
    <row r="54" spans="1:11" ht="21.75" customHeight="1">
      <c r="A54" s="20" t="s">
        <v>117</v>
      </c>
      <c r="B54" s="26"/>
      <c r="D54" s="29">
        <f>SUM(D51:D52)</f>
        <v>-2660569.0647999998</v>
      </c>
      <c r="E54" s="28"/>
      <c r="F54" s="29">
        <f>SUM(F51:F52)</f>
        <v>-785056</v>
      </c>
      <c r="G54" s="28"/>
      <c r="H54" s="29">
        <f>SUM(H51:H52)</f>
        <v>0</v>
      </c>
      <c r="I54" s="28"/>
      <c r="J54" s="29">
        <f>SUM(J51:J52)</f>
        <v>0</v>
      </c>
    </row>
    <row r="55" spans="1:11" ht="21.75" customHeight="1">
      <c r="B55" s="26"/>
      <c r="D55" s="28"/>
      <c r="E55" s="28"/>
      <c r="F55" s="28"/>
      <c r="G55" s="28"/>
      <c r="H55" s="28"/>
      <c r="I55" s="28"/>
      <c r="J55" s="28"/>
    </row>
    <row r="56" spans="1:11" ht="21.75" customHeight="1">
      <c r="A56" s="34" t="s">
        <v>201</v>
      </c>
      <c r="B56" s="26"/>
      <c r="D56" s="28"/>
      <c r="E56" s="28"/>
      <c r="F56" s="28"/>
      <c r="G56" s="28"/>
      <c r="H56" s="28"/>
      <c r="I56" s="28"/>
      <c r="J56" s="28"/>
    </row>
    <row r="57" spans="1:11" ht="21.75" customHeight="1">
      <c r="A57" s="34" t="s">
        <v>111</v>
      </c>
      <c r="B57" s="26"/>
      <c r="D57" s="28"/>
      <c r="E57" s="28"/>
      <c r="F57" s="28"/>
      <c r="G57" s="28"/>
      <c r="H57" s="28"/>
      <c r="I57" s="28"/>
      <c r="J57" s="28"/>
    </row>
    <row r="58" spans="1:11" ht="21.75" customHeight="1">
      <c r="A58" s="20" t="s">
        <v>251</v>
      </c>
      <c r="B58" s="26"/>
      <c r="D58" s="105">
        <v>-32218541</v>
      </c>
      <c r="E58" s="28"/>
      <c r="F58" s="28"/>
      <c r="G58" s="28"/>
      <c r="H58" s="28">
        <v>-18719493</v>
      </c>
      <c r="I58" s="28"/>
      <c r="J58" s="28"/>
    </row>
    <row r="59" spans="1:11" ht="21.75" customHeight="1">
      <c r="A59" s="20" t="s">
        <v>231</v>
      </c>
      <c r="B59" s="26"/>
      <c r="D59" s="28"/>
      <c r="E59" s="28"/>
      <c r="F59" s="28"/>
      <c r="G59" s="28"/>
      <c r="H59" s="28"/>
      <c r="I59" s="28"/>
      <c r="J59" s="28"/>
    </row>
    <row r="60" spans="1:11" ht="21.75" customHeight="1">
      <c r="A60" s="20" t="s">
        <v>141</v>
      </c>
      <c r="B60" s="26"/>
      <c r="D60" s="105">
        <v>1574774.2902269363</v>
      </c>
      <c r="E60" s="28">
        <v>0</v>
      </c>
      <c r="F60" s="28">
        <v>15117318</v>
      </c>
      <c r="G60" s="28">
        <v>0</v>
      </c>
      <c r="H60" s="28">
        <v>0</v>
      </c>
      <c r="I60" s="28">
        <v>0</v>
      </c>
      <c r="J60" s="28">
        <v>0</v>
      </c>
      <c r="K60" s="65"/>
    </row>
    <row r="61" spans="1:11" ht="21.75" customHeight="1">
      <c r="A61" s="20" t="s">
        <v>200</v>
      </c>
      <c r="B61" s="26">
        <v>17</v>
      </c>
      <c r="D61" s="104">
        <v>-11467153.869999999</v>
      </c>
      <c r="E61" s="28">
        <v>0</v>
      </c>
      <c r="F61" s="29">
        <v>7089652</v>
      </c>
      <c r="G61" s="28">
        <v>0</v>
      </c>
      <c r="H61" s="29">
        <v>0</v>
      </c>
      <c r="I61" s="28">
        <v>0</v>
      </c>
      <c r="J61" s="29">
        <v>0</v>
      </c>
    </row>
    <row r="62" spans="1:11" ht="21.75" customHeight="1">
      <c r="A62" s="20" t="s">
        <v>232</v>
      </c>
      <c r="B62" s="26"/>
      <c r="D62" s="28"/>
      <c r="E62" s="28"/>
      <c r="F62" s="28"/>
      <c r="G62" s="28"/>
      <c r="H62" s="28"/>
      <c r="I62" s="28"/>
      <c r="J62" s="28"/>
    </row>
    <row r="63" spans="1:11" ht="21.75" customHeight="1">
      <c r="A63" s="20" t="s">
        <v>117</v>
      </c>
      <c r="B63" s="26"/>
      <c r="D63" s="40">
        <f>SUM(D58:D61)</f>
        <v>-42110920.579773061</v>
      </c>
      <c r="E63" s="28"/>
      <c r="F63" s="40">
        <f>SUM(F58:F61)</f>
        <v>22206970</v>
      </c>
      <c r="G63" s="28"/>
      <c r="H63" s="40">
        <f>SUM(H58:H61)</f>
        <v>-18719493</v>
      </c>
      <c r="I63" s="28"/>
      <c r="J63" s="40">
        <f>SUM(J58:J61)</f>
        <v>0</v>
      </c>
    </row>
    <row r="64" spans="1:11" ht="21.75" customHeight="1">
      <c r="A64" s="16" t="s">
        <v>233</v>
      </c>
      <c r="B64" s="26"/>
      <c r="D64" s="35">
        <f>SUM(D54,D63)</f>
        <v>-44771489.644573063</v>
      </c>
      <c r="E64" s="28"/>
      <c r="F64" s="35">
        <f>SUM(F54,F63)</f>
        <v>21421914</v>
      </c>
      <c r="G64" s="28"/>
      <c r="H64" s="35">
        <f>SUM(H54,H63)</f>
        <v>-18719493</v>
      </c>
      <c r="I64" s="28"/>
      <c r="J64" s="35">
        <f>SUM(J54,J63)</f>
        <v>0</v>
      </c>
    </row>
    <row r="65" spans="1:10" ht="21.75" customHeight="1">
      <c r="A65" s="16"/>
      <c r="B65" s="26"/>
      <c r="D65" s="28"/>
      <c r="E65" s="28"/>
      <c r="F65" s="28"/>
      <c r="G65" s="28"/>
      <c r="H65" s="28"/>
      <c r="I65" s="28"/>
      <c r="J65" s="28"/>
    </row>
    <row r="66" spans="1:10" ht="21.75" customHeight="1" thickBot="1">
      <c r="A66" s="16" t="s">
        <v>203</v>
      </c>
      <c r="B66" s="26"/>
      <c r="D66" s="31">
        <f>SUM(D45,D64)</f>
        <v>328815233.35542691</v>
      </c>
      <c r="E66" s="28"/>
      <c r="F66" s="31">
        <f>SUM(F45,F64)</f>
        <v>26694476</v>
      </c>
      <c r="G66" s="28"/>
      <c r="H66" s="31">
        <f>SUM(H45,H64)</f>
        <v>-18719493</v>
      </c>
      <c r="I66" s="28"/>
      <c r="J66" s="31">
        <f>SUM(J45,J64)</f>
        <v>7106270</v>
      </c>
    </row>
    <row r="67" spans="1:10" ht="21.75" customHeight="1" thickTop="1">
      <c r="B67" s="18"/>
      <c r="D67" s="28"/>
      <c r="E67" s="28"/>
      <c r="F67" s="28"/>
      <c r="G67" s="28"/>
      <c r="H67" s="28"/>
      <c r="I67" s="28"/>
      <c r="J67" s="28"/>
    </row>
    <row r="68" spans="1:10" ht="21.75" customHeight="1">
      <c r="A68" s="16" t="s">
        <v>204</v>
      </c>
      <c r="B68" s="18"/>
      <c r="D68" s="28"/>
      <c r="E68" s="28"/>
      <c r="F68" s="28"/>
      <c r="G68" s="28"/>
      <c r="H68" s="28"/>
      <c r="I68" s="28"/>
      <c r="J68" s="28"/>
    </row>
    <row r="69" spans="1:10" ht="21.75" customHeight="1" thickBot="1">
      <c r="A69" s="20" t="s">
        <v>71</v>
      </c>
      <c r="B69" s="18"/>
      <c r="D69" s="42">
        <f>+D66-D70</f>
        <v>320571132.35542691</v>
      </c>
      <c r="E69" s="28">
        <v>0</v>
      </c>
      <c r="F69" s="42">
        <f>+F66-F70</f>
        <v>27320167</v>
      </c>
      <c r="G69" s="28"/>
      <c r="H69" s="31">
        <f>H66</f>
        <v>-18719493</v>
      </c>
      <c r="I69" s="28"/>
      <c r="J69" s="31">
        <f>J66</f>
        <v>7106270</v>
      </c>
    </row>
    <row r="70" spans="1:10" ht="21.75" customHeight="1" thickTop="1">
      <c r="A70" s="20" t="s">
        <v>70</v>
      </c>
      <c r="B70" s="18"/>
      <c r="D70" s="44">
        <v>8244101</v>
      </c>
      <c r="E70" s="28">
        <v>0</v>
      </c>
      <c r="F70" s="44">
        <v>-625691</v>
      </c>
      <c r="G70" s="28"/>
      <c r="H70" s="28"/>
      <c r="I70" s="28"/>
      <c r="J70" s="28"/>
    </row>
    <row r="71" spans="1:10" ht="21.75" customHeight="1" thickBot="1">
      <c r="B71" s="18"/>
      <c r="D71" s="31">
        <f>SUM(D69:D70)</f>
        <v>328815233.35542691</v>
      </c>
      <c r="E71" s="28"/>
      <c r="F71" s="31">
        <f>SUM(F69:F70)</f>
        <v>26694476</v>
      </c>
      <c r="G71" s="28"/>
      <c r="H71" s="28"/>
      <c r="I71" s="28"/>
      <c r="J71" s="28"/>
    </row>
    <row r="72" spans="1:10" ht="21.75" customHeight="1" thickTop="1">
      <c r="B72" s="18"/>
      <c r="D72" s="28">
        <v>0</v>
      </c>
      <c r="E72" s="19"/>
      <c r="F72" s="28"/>
      <c r="G72" s="36"/>
      <c r="H72" s="28">
        <v>0</v>
      </c>
      <c r="J72" s="36"/>
    </row>
    <row r="73" spans="1:10" ht="21.75" customHeight="1">
      <c r="A73" s="20" t="s">
        <v>18</v>
      </c>
    </row>
    <row r="77" spans="1:10" ht="21.75" customHeight="1">
      <c r="E77" s="19"/>
      <c r="G77" s="19"/>
      <c r="I77" s="19"/>
    </row>
    <row r="78" spans="1:10" ht="21.75" customHeight="1">
      <c r="E78" s="19"/>
      <c r="G78" s="19"/>
      <c r="I78" s="19"/>
    </row>
    <row r="79" spans="1:10" ht="21.75" customHeight="1">
      <c r="E79" s="19"/>
      <c r="G79" s="19"/>
      <c r="I79" s="19"/>
    </row>
    <row r="80" spans="1:10" ht="21.75" customHeight="1">
      <c r="E80" s="19"/>
      <c r="G80" s="19"/>
      <c r="I80" s="19"/>
    </row>
    <row r="81" spans="5:9" ht="21.75" customHeight="1">
      <c r="E81" s="19"/>
      <c r="G81" s="19"/>
      <c r="I81" s="19"/>
    </row>
  </sheetData>
  <pageMargins left="0.78740157480314965" right="0.39370078740157483" top="0.78740157480314965" bottom="0.39370078740157483" header="0.19685039370078741" footer="0.19685039370078741"/>
  <pageSetup paperSize="9" scale="62" orientation="portrait" r:id="rId1"/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6" ma:contentTypeDescription="สร้างเอกสารใหม่" ma:contentTypeScope="" ma:versionID="475060d8c0177ec87eacd3972347738b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51a4675019f813d02faeabc91ed4491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24C39329-EEF8-4692-B39E-DAA32A13E3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859D48-4A0F-4D3E-AED8-595E3B5D32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054341-F689-4E15-9FC4-4D0FD0807306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50c908b1-f277-4340-90a9-4611d0b0f078"/>
    <ds:schemaRef ds:uri="http://purl.org/dc/elements/1.1/"/>
    <ds:schemaRef ds:uri="http://purl.org/dc/dcmitype/"/>
    <ds:schemaRef ds:uri="035936da-f762-4330-9b9a-976de9613cd5"/>
    <ds:schemaRef ds:uri="0025b2a6-f8d9-4a47-85ad-10799d383e76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121310</vt:lpwstr>
  </property>
  <property fmtid="{D5CDD505-2E9C-101B-9397-08002B2CF9AE}" pid="4" name="OptimizationTime">
    <vt:lpwstr>20240221_1649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pl</vt:lpstr>
      <vt:lpstr>ce-conso</vt:lpstr>
      <vt:lpstr>ce-company</vt:lpstr>
      <vt:lpstr>FS - cash flow </vt:lpstr>
      <vt:lpstr>pl LYD</vt:lpstr>
      <vt:lpstr>bs!Print_Area</vt:lpstr>
      <vt:lpstr>'ce-company'!Print_Area</vt:lpstr>
      <vt:lpstr>'ce-conso'!Print_Area</vt:lpstr>
      <vt:lpstr>'FS - cash flow '!Print_Area</vt:lpstr>
      <vt:lpstr>pl!Print_Area</vt:lpstr>
      <vt:lpstr>'pl LYD'!Print_Area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Darika Tongprapai</cp:lastModifiedBy>
  <cp:lastPrinted>2024-02-16T15:10:20Z</cp:lastPrinted>
  <dcterms:created xsi:type="dcterms:W3CDTF">2011-11-24T09:12:20Z</dcterms:created>
  <dcterms:modified xsi:type="dcterms:W3CDTF">2024-02-16T15:12:19Z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