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Corporate\SET-Submissions to SET\LRH to SET - SINCE - 2009\LRH-2023\LRH-BoD 1-2023\FS\"/>
    </mc:Choice>
  </mc:AlternateContent>
  <bookViews>
    <workbookView xWindow="12705" yWindow="645" windowWidth="15090" windowHeight="15375" tabRatio="535"/>
  </bookViews>
  <sheets>
    <sheet name="bs" sheetId="4" r:id="rId1"/>
    <sheet name="pl" sheetId="1" r:id="rId2"/>
    <sheet name="ce-conso" sheetId="7" r:id="rId3"/>
    <sheet name="ce-company" sheetId="8" r:id="rId4"/>
    <sheet name="FS - cash flow 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4">#REF!</definedName>
    <definedName name="_">#REF!</definedName>
    <definedName name="_.._Specification_name__P_L" localSheetId="4">[1]Sheet1!$A$1</definedName>
    <definedName name="_.._Specification_name__P_L">[1]Sheet1!$A$1</definedName>
    <definedName name="__dkd1" localSheetId="4">IF(#REF!&lt;=5,INDEX(#REF!,(#REF!*5)-4),#REF!)</definedName>
    <definedName name="__dkd1">IF(#REF!&lt;=5,INDEX(#REF!,(#REF!*5)-4),#REF!)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4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4">#REF!</definedName>
    <definedName name="_fs2001">#REF!</definedName>
    <definedName name="_Order1" hidden="1">255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4">IF(#REF!&lt;=5,INDEX(#REF!,(#REF!*5)-4),#REF!)</definedName>
    <definedName name="_rik1">IF(#REF!&lt;=5,INDEX(#REF!,(#REF!*5)-4),#REF!)</definedName>
    <definedName name="a" localSheetId="4">#REF!</definedName>
    <definedName name="a">#REF!</definedName>
    <definedName name="aa" localSheetId="4">#REF!</definedName>
    <definedName name="aa">#REF!</definedName>
    <definedName name="aaa" localSheetId="4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 localSheetId="4">[2]INV!$A$6:$O$686</definedName>
    <definedName name="data">[2]INV!$A$6:$O$686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4">IF(#REF!&lt;=5,INDEX(#REF!,(#REF!*5)-4),#REF!)</definedName>
    <definedName name="dkd">IF(#REF!&lt;=5,INDEX(#REF!,(#REF!*5)-4),#REF!)</definedName>
    <definedName name="Elim" localSheetId="4">#REF!</definedName>
    <definedName name="Elim">#REF!</definedName>
    <definedName name="ElimCode" localSheetId="4">'[3]Elim Seg AM'!$D$7:$D$62</definedName>
    <definedName name="ElimCode">'[3]Elim Seg AM'!$D$7:$D$62</definedName>
    <definedName name="ElimCodeAM" localSheetId="4">'[3]Elim Seg AM'!$D$7:$D$70</definedName>
    <definedName name="ElimCodeAM">'[3]Elim Seg AM'!$D$7:$D$70</definedName>
    <definedName name="ElimCodeBM" localSheetId="4">'[3]Elim Seg BM'!$D$7:$D$70</definedName>
    <definedName name="ElimCodeBM">'[3]Elim Seg BM'!$D$7:$D$70</definedName>
    <definedName name="ElimCodeLM" localSheetId="4">'[3]Elim Seg LM'!$D$7:$D$70</definedName>
    <definedName name="ElimCodeLM">'[3]Elim Seg LM'!$D$7:$D$70</definedName>
    <definedName name="ElimDif" localSheetId="4">#REF!</definedName>
    <definedName name="ElimDif">#REF!</definedName>
    <definedName name="ElimSegAM" localSheetId="4">'[3]Elim Seg AM'!$F$7:$Q$69</definedName>
    <definedName name="ElimSegAM">'[3]Elim Seg AM'!$F$7:$Q$69</definedName>
    <definedName name="ElimSegBM" localSheetId="4">'[3]Elim Seg BM'!$F$7:$Q$69</definedName>
    <definedName name="ElimSegBM">'[3]Elim Seg BM'!$F$7:$Q$69</definedName>
    <definedName name="ElimSegLM" localSheetId="4">'[3]Elim Seg LM'!$F$7:$Q$69</definedName>
    <definedName name="ElimSegLM">'[3]Elim Seg LM'!$F$7:$Q$69</definedName>
    <definedName name="fs" localSheetId="4">#REF!</definedName>
    <definedName name="fs">#REF!</definedName>
    <definedName name="gg" localSheetId="4">IF(#REF!&lt;=5,INDEX(#REF!,(#REF!*5)-4),#REF!)</definedName>
    <definedName name="gg">IF(#REF!&lt;=5,INDEX(#REF!,(#REF!*5)-4),#REF!)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4">IF(#REF!&lt;=5,INDEX(#REF!,(#REF!*5)-4),#REF!)</definedName>
    <definedName name="mm">IF(#REF!&lt;=5,INDEX(#REF!,(#REF!*5)-4),#REF!)</definedName>
    <definedName name="PeriodInYear" localSheetId="4">'[4]P&amp;L'!$G$6</definedName>
    <definedName name="PeriodInYear">'[4]P&amp;L'!$G$6</definedName>
    <definedName name="_xlnm.Print_Area" localSheetId="0">bs!$A$1:$J$100</definedName>
    <definedName name="_xlnm.Print_Area" localSheetId="3">'ce-company'!$A$1:$R$24</definedName>
    <definedName name="_xlnm.Print_Area" localSheetId="2">'ce-conso'!$A$1:$AF$36</definedName>
    <definedName name="_xlnm.Print_Area" localSheetId="4">'FS - cash flow '!$A$1:$J$103</definedName>
    <definedName name="_xlnm.Print_Area" localSheetId="1">pl!$A$1:$J$72</definedName>
    <definedName name="_xlnm.Print_Area">#REF!</definedName>
    <definedName name="Print_Area_MI">[5]RETEN!#REF!</definedName>
    <definedName name="Print_Area_Reset" localSheetId="4">OFFSET(Full_Print,0,0,Last_Row)</definedName>
    <definedName name="Print_Area_Reset">OFFSET(Full_Print,0,0,Last_Row)</definedName>
    <definedName name="_xlnm.Print_Titles">#N/A</definedName>
    <definedName name="PrintArea" localSheetId="4">#REF!</definedName>
    <definedName name="PrintArea">#REF!</definedName>
    <definedName name="Printtitles" localSheetId="4">'[6]A12-invsub'!#REF!</definedName>
    <definedName name="Printtitles">'[6]A12-invsub'!#REF!</definedName>
    <definedName name="ratio" localSheetId="4">IF('[7]#REF'!$A$5&lt;=5,INDEX('[7]#REF'!F1:AC1,('[7]#REF'!$A$5*5)-4),'[7]#REF'!N1)</definedName>
    <definedName name="ratio">IF('[7]#REF'!$A$5&lt;=5,INDEX('[7]#REF'!F1:AC1,('[7]#REF'!$A$5*5)-4),'[7]#REF'!N1)</definedName>
    <definedName name="ratio1" localSheetId="4">IF('[7]#REF'!$A$5&lt;=5,INDEX('[7]#REF'!F1:AC1,('[7]#REF'!$A$5*5)-4),'[7]#REF'!R1)</definedName>
    <definedName name="ratio1">IF('[7]#REF'!$A$5&lt;=5,INDEX('[7]#REF'!F1:AC1,('[7]#REF'!$A$5*5)-4),'[7]#REF'!R1)</definedName>
    <definedName name="ratio2" localSheetId="4">IF('[7]#REF'!$A$5&lt;=5,INDEX('[7]#REF'!F1:AC1,('[7]#REF'!$A$5*5)-4),'[7]#REF'!V1)</definedName>
    <definedName name="ratio2">IF('[7]#REF'!$A$5&lt;=5,INDEX('[7]#REF'!F1:AC1,('[7]#REF'!$A$5*5)-4),'[7]#REF'!V1)</definedName>
    <definedName name="ratio3" localSheetId="4">IF('[7]#REF'!$A$5&lt;=5,INDEX('[7]#REF'!F1:AC1,('[7]#REF'!$A$5*5)-4),'[7]#REF'!Z1)</definedName>
    <definedName name="ratio3">IF('[7]#REF'!$A$5&lt;=5,INDEX('[7]#REF'!F1:AC1,('[7]#REF'!$A$5*5)-4),'[7]#REF'!Z1)</definedName>
    <definedName name="report" localSheetId="4">'[2]FA(NEW)'!$E$5:$G$45</definedName>
    <definedName name="report">'[2]FA(NEW)'!$E$5:$G$45</definedName>
    <definedName name="rik" localSheetId="4">IF(#REF!&lt;=5,INDEX(#REF!,(#REF!*5)-4),#REF!)</definedName>
    <definedName name="rik">IF(#REF!&lt;=5,INDEX(#REF!,(#REF!*5)-4),#REF!)</definedName>
    <definedName name="twpl" localSheetId="4">#REF!</definedName>
    <definedName name="twpl">#REF!</definedName>
    <definedName name="variance" localSheetId="4">'[2]FA(NEW)'!$BI$5:$CF$44</definedName>
    <definedName name="variance">'[2]FA(NEW)'!$BI$5:$CF$44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15" i="1"/>
  <c r="D14" i="1"/>
  <c r="D85" i="4"/>
  <c r="D60" i="4"/>
  <c r="D48" i="4"/>
  <c r="D26" i="4"/>
  <c r="D15" i="4" l="1"/>
  <c r="D51" i="4"/>
  <c r="D86" i="4"/>
  <c r="AD39" i="7"/>
  <c r="D89" i="4"/>
  <c r="H51" i="4"/>
  <c r="H35" i="10" l="1"/>
  <c r="P19" i="8"/>
  <c r="P18" i="8"/>
  <c r="J28" i="7" l="1"/>
  <c r="J23" i="7"/>
  <c r="P22" i="7"/>
  <c r="T32" i="7"/>
  <c r="J33" i="7" l="1"/>
  <c r="AB30" i="7"/>
  <c r="AD30" i="7" l="1"/>
  <c r="AF30" i="7" s="1"/>
  <c r="AD26" i="7"/>
  <c r="H81" i="10" l="1"/>
  <c r="A55" i="10" l="1"/>
  <c r="J43" i="1"/>
  <c r="H43" i="1"/>
  <c r="F43" i="1"/>
  <c r="D43" i="1"/>
  <c r="A40" i="1"/>
  <c r="J40" i="4"/>
  <c r="H40" i="4"/>
  <c r="F40" i="4"/>
  <c r="D40" i="4"/>
  <c r="J29" i="10" l="1"/>
  <c r="J45" i="10" s="1"/>
  <c r="J50" i="10" s="1"/>
  <c r="J82" i="10" s="1"/>
  <c r="J84" i="10" s="1"/>
  <c r="H83" i="10" s="1"/>
  <c r="F84" i="10"/>
  <c r="E68" i="10"/>
  <c r="F68" i="10"/>
  <c r="F29" i="10" l="1"/>
  <c r="F45" i="10" s="1"/>
  <c r="F50" i="10" s="1"/>
  <c r="R19" i="8" l="1"/>
  <c r="G17" i="8"/>
  <c r="I17" i="8"/>
  <c r="K17" i="8"/>
  <c r="M17" i="8"/>
  <c r="O17" i="8"/>
  <c r="G25" i="7" l="1"/>
  <c r="I25" i="7"/>
  <c r="M25" i="7"/>
  <c r="O25" i="7"/>
  <c r="Q25" i="7"/>
  <c r="S25" i="7"/>
  <c r="U25" i="7"/>
  <c r="W25" i="7"/>
  <c r="Y25" i="7"/>
  <c r="AA25" i="7"/>
  <c r="AD17" i="7"/>
  <c r="R11" i="8" l="1"/>
  <c r="F23" i="7"/>
  <c r="F25" i="7" s="1"/>
  <c r="AD20" i="7"/>
  <c r="T22" i="7"/>
  <c r="AB15" i="7"/>
  <c r="AF15" i="7" s="1"/>
  <c r="Z15" i="7"/>
  <c r="F62" i="1" l="1"/>
  <c r="J18" i="1"/>
  <c r="E90" i="4"/>
  <c r="J85" i="4"/>
  <c r="J16" i="4"/>
  <c r="J30" i="4"/>
  <c r="F30" i="4"/>
  <c r="P13" i="8"/>
  <c r="R13" i="8" s="1"/>
  <c r="P12" i="8"/>
  <c r="R12" i="8" s="1"/>
  <c r="F14" i="8"/>
  <c r="F15" i="8" s="1"/>
  <c r="F17" i="8" s="1"/>
  <c r="H14" i="8"/>
  <c r="H15" i="8" s="1"/>
  <c r="H17" i="8" s="1"/>
  <c r="J14" i="8"/>
  <c r="J15" i="8" s="1"/>
  <c r="J17" i="8" s="1"/>
  <c r="N14" i="8"/>
  <c r="N15" i="8" s="1"/>
  <c r="N17" i="8" s="1"/>
  <c r="L14" i="8"/>
  <c r="L15" i="8" s="1"/>
  <c r="L17" i="8" s="1"/>
  <c r="P20" i="8"/>
  <c r="N20" i="8"/>
  <c r="J20" i="8"/>
  <c r="H20" i="8"/>
  <c r="F20" i="8"/>
  <c r="H12" i="1"/>
  <c r="R14" i="8" l="1"/>
  <c r="R15" i="8" s="1"/>
  <c r="P14" i="8"/>
  <c r="J31" i="4"/>
  <c r="P15" i="8"/>
  <c r="P17" i="8" s="1"/>
  <c r="H21" i="8" l="1"/>
  <c r="F21" i="8"/>
  <c r="J21" i="8"/>
  <c r="N21" i="8"/>
  <c r="AB22" i="7" l="1"/>
  <c r="AF22" i="7" s="1"/>
  <c r="AB20" i="7"/>
  <c r="AF20" i="7" s="1"/>
  <c r="AB17" i="7"/>
  <c r="AF17" i="7" s="1"/>
  <c r="AB16" i="7"/>
  <c r="AF16" i="7" s="1"/>
  <c r="Z22" i="7"/>
  <c r="Z20" i="7"/>
  <c r="Z17" i="7"/>
  <c r="Z16" i="7"/>
  <c r="AD18" i="7"/>
  <c r="AD23" i="7" s="1"/>
  <c r="X18" i="7"/>
  <c r="X23" i="7" s="1"/>
  <c r="X25" i="7" s="1"/>
  <c r="V18" i="7"/>
  <c r="V23" i="7" s="1"/>
  <c r="V25" i="7" s="1"/>
  <c r="T18" i="7"/>
  <c r="R18" i="7"/>
  <c r="R23" i="7" s="1"/>
  <c r="R25" i="7" s="1"/>
  <c r="P18" i="7"/>
  <c r="P23" i="7" s="1"/>
  <c r="P25" i="7" s="1"/>
  <c r="N18" i="7"/>
  <c r="N23" i="7" s="1"/>
  <c r="L18" i="7"/>
  <c r="AD38" i="7"/>
  <c r="Z26" i="7"/>
  <c r="AB32" i="7"/>
  <c r="AF32" i="7" s="1"/>
  <c r="AD28" i="7"/>
  <c r="T28" i="7"/>
  <c r="N28" i="7"/>
  <c r="L28" i="7"/>
  <c r="H28" i="7"/>
  <c r="F28" i="7"/>
  <c r="F33" i="7" s="1"/>
  <c r="H23" i="7"/>
  <c r="F34" i="7"/>
  <c r="P34" i="7" l="1"/>
  <c r="N34" i="7"/>
  <c r="N25" i="7"/>
  <c r="H34" i="7"/>
  <c r="H25" i="7"/>
  <c r="N33" i="7"/>
  <c r="AD34" i="7"/>
  <c r="AD25" i="7"/>
  <c r="AD33" i="7" s="1"/>
  <c r="Z18" i="7"/>
  <c r="AB18" i="7"/>
  <c r="AF18" i="7" s="1"/>
  <c r="AG18" i="7" s="1"/>
  <c r="Z32" i="7"/>
  <c r="L23" i="7"/>
  <c r="T23" i="7"/>
  <c r="Z23" i="7" l="1"/>
  <c r="Z25" i="7" s="1"/>
  <c r="T25" i="7"/>
  <c r="T33" i="7" s="1"/>
  <c r="L34" i="7"/>
  <c r="L25" i="7"/>
  <c r="L33" i="7" s="1"/>
  <c r="H33" i="7"/>
  <c r="AB23" i="7"/>
  <c r="AF23" i="7" s="1"/>
  <c r="Z34" i="7" l="1"/>
  <c r="AB25" i="7"/>
  <c r="AF25" i="7" s="1"/>
  <c r="F70" i="1"/>
  <c r="J62" i="1"/>
  <c r="H62" i="1"/>
  <c r="J54" i="1"/>
  <c r="H54" i="1"/>
  <c r="F54" i="1"/>
  <c r="F63" i="1" s="1"/>
  <c r="F35" i="1"/>
  <c r="F31" i="1"/>
  <c r="J19" i="1"/>
  <c r="H19" i="1"/>
  <c r="F19" i="1"/>
  <c r="J12" i="1"/>
  <c r="F12" i="1"/>
  <c r="F20" i="1" s="1"/>
  <c r="F24" i="1" s="1"/>
  <c r="D12" i="1"/>
  <c r="J87" i="4"/>
  <c r="J90" i="4" s="1"/>
  <c r="F87" i="4"/>
  <c r="F90" i="4" s="1"/>
  <c r="J62" i="4"/>
  <c r="F62" i="4"/>
  <c r="J52" i="4"/>
  <c r="F52" i="4"/>
  <c r="F16" i="4"/>
  <c r="F31" i="4" s="1"/>
  <c r="J20" i="1" l="1"/>
  <c r="J24" i="1" s="1"/>
  <c r="J26" i="1" s="1"/>
  <c r="J29" i="1" s="1"/>
  <c r="J35" i="1" s="1"/>
  <c r="F26" i="1"/>
  <c r="F63" i="4"/>
  <c r="F91" i="4" s="1"/>
  <c r="AF34" i="7"/>
  <c r="AB34" i="7"/>
  <c r="H20" i="1"/>
  <c r="F65" i="1"/>
  <c r="H63" i="1"/>
  <c r="J63" i="1"/>
  <c r="J65" i="1" s="1"/>
  <c r="J68" i="1" s="1"/>
  <c r="J63" i="4"/>
  <c r="J91" i="4" s="1"/>
  <c r="H24" i="1" l="1"/>
  <c r="H8" i="10"/>
  <c r="F92" i="4"/>
  <c r="J92" i="4"/>
  <c r="H26" i="1" l="1"/>
  <c r="L18" i="8"/>
  <c r="L20" i="8" s="1"/>
  <c r="L21" i="8" s="1"/>
  <c r="R18" i="8" l="1"/>
  <c r="R20" i="8" s="1"/>
  <c r="H29" i="1"/>
  <c r="H45" i="1" s="1"/>
  <c r="H35" i="1"/>
  <c r="H65" i="1" l="1"/>
  <c r="P21" i="8"/>
  <c r="R17" i="8"/>
  <c r="R21" i="8" s="1"/>
  <c r="H68" i="1" l="1"/>
  <c r="J35" i="7" l="1"/>
  <c r="L35" i="7" l="1"/>
  <c r="H23" i="8"/>
  <c r="H35" i="7"/>
  <c r="N35" i="7"/>
  <c r="J23" i="8" l="1"/>
  <c r="P23" i="8"/>
  <c r="F23" i="8" l="1"/>
  <c r="F35" i="7" l="1"/>
  <c r="L23" i="8" l="1"/>
  <c r="H87" i="4"/>
  <c r="H90" i="4" l="1"/>
  <c r="D62" i="4"/>
  <c r="R23" i="8" l="1"/>
  <c r="D52" i="4"/>
  <c r="D30" i="4"/>
  <c r="D63" i="4" l="1"/>
  <c r="D16" i="4"/>
  <c r="D31" i="4" l="1"/>
  <c r="H16" i="4"/>
  <c r="H52" i="4" l="1"/>
  <c r="AD35" i="7" l="1"/>
  <c r="D87" i="4" l="1"/>
  <c r="D90" i="4" l="1"/>
  <c r="D91" i="4" l="1"/>
  <c r="D92" i="4" l="1"/>
  <c r="H30" i="4"/>
  <c r="H31" i="4" l="1"/>
  <c r="H62" i="4"/>
  <c r="H63" i="4" l="1"/>
  <c r="H91" i="4" l="1"/>
  <c r="X38" i="7"/>
  <c r="V27" i="7"/>
  <c r="D62" i="1"/>
  <c r="H92" i="4" l="1"/>
  <c r="X28" i="7"/>
  <c r="X33" i="7" s="1"/>
  <c r="V38" i="7"/>
  <c r="V28" i="7"/>
  <c r="V33" i="7" l="1"/>
  <c r="D19" i="1" l="1"/>
  <c r="D20" i="1" l="1"/>
  <c r="D24" i="1" l="1"/>
  <c r="D8" i="10" l="1"/>
  <c r="D29" i="10" s="1"/>
  <c r="D26" i="1"/>
  <c r="D29" i="1" s="1"/>
  <c r="D35" i="1" l="1"/>
  <c r="P26" i="7"/>
  <c r="D31" i="1"/>
  <c r="D45" i="1" s="1"/>
  <c r="P28" i="7" l="1"/>
  <c r="P33" i="7" s="1"/>
  <c r="P35" i="7" s="1"/>
  <c r="AB26" i="7"/>
  <c r="AF26" i="7" s="1"/>
  <c r="AG26" i="7" s="1"/>
  <c r="P38" i="7"/>
  <c r="D54" i="1"/>
  <c r="D63" i="1" l="1"/>
  <c r="D65" i="1" l="1"/>
  <c r="D68" i="1" s="1"/>
  <c r="D70" i="1" l="1"/>
  <c r="H68" i="10" l="1"/>
  <c r="D68" i="10" l="1"/>
  <c r="H79" i="10"/>
  <c r="D79" i="10" l="1"/>
  <c r="H29" i="10" l="1"/>
  <c r="H45" i="10" l="1"/>
  <c r="H50" i="10" l="1"/>
  <c r="H82" i="10" l="1"/>
  <c r="H84" i="10" l="1"/>
  <c r="H85" i="10" l="1"/>
  <c r="D45" i="10" l="1"/>
  <c r="D50" i="10" l="1"/>
  <c r="D82" i="10" l="1"/>
  <c r="D84" i="10" l="1"/>
  <c r="D85" i="10" l="1"/>
  <c r="R28" i="7" l="1"/>
  <c r="R33" i="7" s="1"/>
  <c r="Z33" i="7" s="1"/>
  <c r="Z35" i="7" s="1"/>
  <c r="AB33" i="7" l="1"/>
  <c r="AF33" i="7" s="1"/>
  <c r="AF35" i="7" s="1"/>
  <c r="Z28" i="7"/>
  <c r="AB28" i="7"/>
  <c r="AB39" i="7" s="1"/>
  <c r="AB27" i="7"/>
  <c r="AF27" i="7" s="1"/>
  <c r="Z27" i="7"/>
  <c r="AB35" i="7" l="1"/>
  <c r="AF28" i="7"/>
  <c r="AG33" i="7" s="1"/>
  <c r="AG27" i="7"/>
  <c r="AG28" i="7" l="1"/>
</calcChain>
</file>

<file path=xl/sharedStrings.xml><?xml version="1.0" encoding="utf-8"?>
<sst xmlns="http://schemas.openxmlformats.org/spreadsheetml/2006/main" count="372" uniqueCount="271">
  <si>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</si>
  <si>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</si>
  <si>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</si>
  <si>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</si>
  <si>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</si>
  <si>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</si>
  <si>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</si>
  <si>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</si>
  <si>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</si>
  <si>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</si>
  <si>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</si>
  <si>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</si>
  <si>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</si>
  <si>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</si>
  <si>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</si>
  <si>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</si>
  <si>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</si>
  <si>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</si>
  <si>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</si>
  <si>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</si>
  <si>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</si>
  <si>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</si>
  <si>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</si>
  <si>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</si>
  <si>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</si>
  <si>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</si>
  <si>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</si>
  <si>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</si>
  <si>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</si>
  <si>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</si>
  <si>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</si>
  <si>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</si>
  <si>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</si>
  <si>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</si>
  <si>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</si>
  <si>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</si>
  <si>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</si>
  <si>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</si>
  <si>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</si>
  <si>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</si>
  <si>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</si>
  <si>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</si>
  <si>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</si>
  <si>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</si>
  <si>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</si>
  <si>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</si>
  <si>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</si>
  <si>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</si>
  <si>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</si>
  <si>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</si>
  <si>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</si>
  <si>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</si>
  <si>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</si>
  <si>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</si>
  <si>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</si>
  <si>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</si>
  <si>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</si>
  <si>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</si>
  <si>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</si>
  <si>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</si>
  <si>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</si>
  <si>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</si>
  <si>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</si>
  <si>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</si>
  <si>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</si>
  <si>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</si>
  <si>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</si>
  <si>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</si>
  <si>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</si>
  <si>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</si>
  <si>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</si>
  <si>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</si>
  <si>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</si>
  <si>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</si>
  <si>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</si>
  <si>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</si>
  <si>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</si>
  <si>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</si>
  <si>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</si>
  <si>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</si>
  <si>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</si>
  <si>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</si>
  <si>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</si>
  <si>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</si>
  <si>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</si>
  <si>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</si>
  <si>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</si>
  <si>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</si>
  <si>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</si>
  <si>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</si>
  <si>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</si>
  <si>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>Equity attributable to owner of the Company</t>
  </si>
  <si>
    <t>Income statement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</si>
  <si>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</si>
  <si>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</si>
  <si>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</si>
  <si>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</si>
  <si>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</si>
  <si>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>Statement of comprehensive income</t>
  </si>
  <si>
    <t>Equity attributable to</t>
  </si>
  <si>
    <t xml:space="preserve"> non-controlling</t>
  </si>
  <si>
    <t xml:space="preserve">Equity attributable to non-controlling interests </t>
  </si>
  <si>
    <t xml:space="preserve">   of the subsidiaries</t>
  </si>
  <si>
    <t>Income tax payable</t>
  </si>
  <si>
    <t>Directors</t>
  </si>
  <si>
    <t>Deferred tax assets</t>
  </si>
  <si>
    <t>Deferred tax liabilities</t>
  </si>
  <si>
    <t>Other  components of shareholders' equity</t>
  </si>
  <si>
    <t>Long-term loans from subsidiaries</t>
  </si>
  <si>
    <t>Revaluation</t>
  </si>
  <si>
    <t xml:space="preserve">components of </t>
  </si>
  <si>
    <t xml:space="preserve">   to profit or loss in subsequent periods</t>
  </si>
  <si>
    <t>Profit (loss) attributable to:</t>
  </si>
  <si>
    <t>Share of other</t>
  </si>
  <si>
    <t>comprehensive</t>
  </si>
  <si>
    <t>Exchange differences on translation of financial statements</t>
  </si>
  <si>
    <t>from associates</t>
  </si>
  <si>
    <t xml:space="preserve">   to profit or loss in subsequent periods, net of income tax</t>
  </si>
  <si>
    <t>Cost to obtain contracts with customers</t>
  </si>
  <si>
    <t>Share of profit from investments in associates</t>
  </si>
  <si>
    <t>Revenue from office rental operations</t>
  </si>
  <si>
    <t>Revenue from hotel operations</t>
  </si>
  <si>
    <t>Revenue from property development operations</t>
  </si>
  <si>
    <t>Long-term loan from related company</t>
  </si>
  <si>
    <t>Other non-current financial assets</t>
  </si>
  <si>
    <t>Right-of-use assets</t>
  </si>
  <si>
    <t>Current portion of lease liabilities</t>
  </si>
  <si>
    <t>Lease liabilities, net of current portion</t>
  </si>
  <si>
    <t>investments in equity</t>
  </si>
  <si>
    <t>designated at fair</t>
  </si>
  <si>
    <t>value through other</t>
  </si>
  <si>
    <t>comprehensive income</t>
  </si>
  <si>
    <t xml:space="preserve">  in foreign currency</t>
  </si>
  <si>
    <t>Finance income</t>
  </si>
  <si>
    <t>Revenues</t>
  </si>
  <si>
    <t>Total revenues</t>
  </si>
  <si>
    <t>Loss for the year</t>
  </si>
  <si>
    <t>Long-term restricted deposit at financial institution</t>
  </si>
  <si>
    <t>Long-term loans from financial institutions,</t>
  </si>
  <si>
    <t xml:space="preserve">   net of current portion</t>
  </si>
  <si>
    <t>income</t>
  </si>
  <si>
    <t xml:space="preserve">   financial institutions</t>
  </si>
  <si>
    <t xml:space="preserve">   at fair value through other comprehensive income</t>
  </si>
  <si>
    <t>Balance as at 1 January 2021</t>
  </si>
  <si>
    <t>Balance as at 31 December 2021</t>
  </si>
  <si>
    <t>2021</t>
  </si>
  <si>
    <t>Loss before income tax expenses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</si>
  <si>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</si>
  <si>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</si>
  <si>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</si>
  <si>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</si>
  <si>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</si>
  <si>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</si>
  <si>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Deferred gain on right-of-use assets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</si>
  <si>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</si>
  <si>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</si>
  <si>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</si>
  <si>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</si>
  <si>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</si>
  <si>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</si>
  <si>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</si>
  <si>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</si>
  <si>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</si>
  <si>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</si>
  <si>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</si>
  <si>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</si>
  <si>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</si>
  <si>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</si>
  <si>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</si>
  <si>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</si>
  <si>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Other non-current liabilities</t>
  </si>
  <si>
    <t xml:space="preserve">Cash flows from (used in) operating activities </t>
  </si>
  <si>
    <t xml:space="preserve">   Cash received from income tax refund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</si>
  <si>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</si>
  <si>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</si>
  <si>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</si>
  <si>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</si>
  <si>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</si>
  <si>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</si>
  <si>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>Cash paid for acquisition of property, plant and equipment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</si>
  <si>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</si>
  <si>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</si>
  <si>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</si>
  <si>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</si>
  <si>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</si>
  <si>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 xml:space="preserve">Payment of lease liabilities </t>
  </si>
  <si>
    <t>Dividend paid</t>
  </si>
  <si>
    <t>Net cash flows from (used in) financing activities</t>
  </si>
  <si>
    <t>Net exchange differences on translation of financial</t>
  </si>
  <si>
    <t xml:space="preserve">   statements in foreign currency</t>
  </si>
  <si>
    <t>Net increase (decrease) in cash and cash equivalents</t>
  </si>
  <si>
    <t>Cash and cash equivalents at beginning of year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</si>
  <si>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</si>
  <si>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</si>
  <si>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</si>
  <si>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</si>
  <si>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Transfer of property development cost to property,</t>
  </si>
  <si>
    <t xml:space="preserve">      plant and equipment</t>
  </si>
  <si>
    <t xml:space="preserve">   Transfer of property, plant and equipment to property  </t>
  </si>
  <si>
    <t xml:space="preserve">      development cost</t>
  </si>
  <si>
    <t xml:space="preserve">   Transfer of investment properties to property,</t>
  </si>
  <si>
    <t xml:space="preserve">   Addition of right-of-use assets and lease liabilities</t>
  </si>
  <si>
    <t xml:space="preserve">   Reclassify short-term loans from financial institutions to long-term</t>
  </si>
  <si>
    <t xml:space="preserve">   Provision for long-term employee benefits (reversal)</t>
  </si>
  <si>
    <t>Increase in fixed deposit</t>
  </si>
  <si>
    <t xml:space="preserve">      loans from financial institutions</t>
  </si>
  <si>
    <t>Profit (loss) for the year</t>
  </si>
  <si>
    <t>Adjustments to reconcile loss before income tax expenses</t>
  </si>
  <si>
    <t xml:space="preserve">Bank overdrafts and short-term loans from </t>
  </si>
  <si>
    <t>Other comprehensive income (loss) :</t>
  </si>
  <si>
    <t>Share of other comprehensive income (loss) from associates</t>
  </si>
  <si>
    <t>Other comprehensive income (loss) not to be reclassified</t>
  </si>
  <si>
    <t>Other comprehensive income (loss) for the year</t>
  </si>
  <si>
    <t>Total comprehensive income (loss) for the year</t>
  </si>
  <si>
    <t>Total comprehensive income (loss) attributable to:</t>
  </si>
  <si>
    <t xml:space="preserve">Other comprehensive </t>
  </si>
  <si>
    <t>surplus on assets</t>
  </si>
  <si>
    <t xml:space="preserve">   Dividend income from investment in subsidiary</t>
  </si>
  <si>
    <t xml:space="preserve">   Reversal of provision for legal case</t>
  </si>
  <si>
    <t xml:space="preserve">   Cash paid for provision for long-term employee benefits</t>
  </si>
  <si>
    <t xml:space="preserve">   Cash paid for long-term provision legal case</t>
  </si>
  <si>
    <t xml:space="preserve">   Cash received from interest income</t>
  </si>
  <si>
    <t xml:space="preserve">   Cash paid for interest expenses</t>
  </si>
  <si>
    <t xml:space="preserve">   Cash paid for income tax</t>
  </si>
  <si>
    <t>Dividend received from investment in subsidiary</t>
  </si>
  <si>
    <t>Repayment of long-term loans from related company</t>
  </si>
  <si>
    <t>Other comprehensive income (loss) to be reclassified</t>
  </si>
  <si>
    <t xml:space="preserve">Total comprehensive income (loss) for the year </t>
  </si>
  <si>
    <t xml:space="preserve">   Share of other comprehensive income (loss) from associates</t>
  </si>
  <si>
    <t>Cash and cash equivalents at end of year (Note 6)</t>
  </si>
  <si>
    <t>As at 31 December 2022</t>
  </si>
  <si>
    <t>2022</t>
  </si>
  <si>
    <t>Balance as at 1 January 2022</t>
  </si>
  <si>
    <t>Balance as at 31 December 2022</t>
  </si>
  <si>
    <t>For the year ended 31 December 2022</t>
  </si>
  <si>
    <t>in subsidiary</t>
  </si>
  <si>
    <t>of investment</t>
  </si>
  <si>
    <t>in proportion</t>
  </si>
  <si>
    <t>from change</t>
  </si>
  <si>
    <t>Share discount</t>
  </si>
  <si>
    <t>Share discount from change in proportion of</t>
  </si>
  <si>
    <t>Other current financial assets</t>
  </si>
  <si>
    <t xml:space="preserve">   investment in subsidiary</t>
  </si>
  <si>
    <t>Operating profit (loss)</t>
  </si>
  <si>
    <t>Income tax (expenses) revenue</t>
  </si>
  <si>
    <t>Basic earnings per share</t>
  </si>
  <si>
    <t>Profit (loss) attributable to equity holders of the Company</t>
  </si>
  <si>
    <t>Earnings per share</t>
  </si>
  <si>
    <t xml:space="preserve">Gain on changes in value of equity investments designated  </t>
  </si>
  <si>
    <t xml:space="preserve">Other comprehensive income not to be reclassified </t>
  </si>
  <si>
    <t>Other comprehensive income for the year</t>
  </si>
  <si>
    <t>Gains on</t>
  </si>
  <si>
    <t>income (loss)</t>
  </si>
  <si>
    <t xml:space="preserve">Subsidiary paid dividend to non-controlling interests </t>
  </si>
  <si>
    <t xml:space="preserve">   of subsidiary (Note 16)</t>
  </si>
  <si>
    <t xml:space="preserve">   (Note 27)</t>
  </si>
  <si>
    <t xml:space="preserve">Reversal of revaluation surplus on disposal of assets </t>
  </si>
  <si>
    <t xml:space="preserve">   Reclassify long-term restricted deposits at financial institutions to</t>
  </si>
  <si>
    <t xml:space="preserve">   Allowance for expected credit losses (reversal)</t>
  </si>
  <si>
    <t xml:space="preserve">   Reduction of inventory to net realisable value </t>
  </si>
  <si>
    <t xml:space="preserve">   Dividend income from investment in associate</t>
  </si>
  <si>
    <t xml:space="preserve">   Gain on revaluation of investment properties</t>
  </si>
  <si>
    <t xml:space="preserve">   (Gain) loss on sales of property, plant and equipment</t>
  </si>
  <si>
    <t xml:space="preserve">   Impairment of right-of-use assets (reversal)</t>
  </si>
  <si>
    <t>(Increase) decrease in long-term restricted deposits at financial institutions</t>
  </si>
  <si>
    <t>Net cash flows used in investing activities</t>
  </si>
  <si>
    <t>Decrease in bank overdrafts and short-term loans from</t>
  </si>
  <si>
    <t xml:space="preserve">   Reduction of property development cost</t>
  </si>
  <si>
    <t xml:space="preserve">      to net realisable value (reversal)</t>
  </si>
  <si>
    <t>Dividend received from investment in associate</t>
  </si>
  <si>
    <t xml:space="preserve">      other current financial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</si>
</sst>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#,##0.0_);\(#,##0.0\)"/>
  </numFmts>
  <fonts count="25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2" borderId="0">
      <protection hidden="1"/>
    </xf>
    <xf numFmtId="166" fontId="11" fillId="0" borderId="0" applyFont="0" applyFill="0" applyBorder="0" applyAlignment="0" applyProtection="0"/>
    <xf numFmtId="37" fontId="12" fillId="0" borderId="0"/>
    <xf numFmtId="0" fontId="8" fillId="0" borderId="0"/>
    <xf numFmtId="9" fontId="1" fillId="0" borderId="0" applyFont="0" applyFill="0" applyBorder="0" applyAlignment="0" applyProtection="0"/>
    <xf numFmtId="37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3" fillId="0" borderId="0"/>
    <xf numFmtId="0" fontId="23" fillId="0" borderId="0"/>
  </cellStyleXfs>
  <cellXfs count="172">
    <xf numFmtId="0" fontId="0" fillId="0" borderId="0" xfId="0"/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7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right" vertical="center"/>
    </xf>
    <xf numFmtId="0" fontId="2" fillId="0" borderId="0" xfId="6" applyFont="1" applyFill="1" applyAlignment="1">
      <alignment vertical="center"/>
    </xf>
    <xf numFmtId="0" fontId="2" fillId="0" borderId="0" xfId="6" applyFont="1" applyFill="1" applyBorder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41" fontId="3" fillId="0" borderId="0" xfId="6" applyNumberFormat="1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/>
    </xf>
    <xf numFmtId="0" fontId="3" fillId="0" borderId="0" xfId="6" applyFon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lef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41" fontId="3" fillId="0" borderId="0" xfId="6" applyNumberFormat="1" applyFont="1" applyFill="1" applyBorder="1" applyAlignment="1">
      <alignment vertical="center"/>
    </xf>
    <xf numFmtId="0" fontId="6" fillId="0" borderId="0" xfId="12" applyFont="1" applyFill="1" applyBorder="1" applyAlignment="1">
      <alignment horizontal="center" vertical="center"/>
    </xf>
    <xf numFmtId="0" fontId="6" fillId="0" borderId="0" xfId="12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left" vertical="center"/>
    </xf>
    <xf numFmtId="41" fontId="6" fillId="0" borderId="0" xfId="1" applyNumberFormat="1" applyFont="1" applyFill="1" applyBorder="1" applyAlignment="1">
      <alignment vertical="center"/>
    </xf>
    <xf numFmtId="41" fontId="6" fillId="0" borderId="1" xfId="0" applyNumberFormat="1" applyFont="1" applyFill="1" applyBorder="1" applyAlignment="1">
      <alignment horizontal="left" vertical="center"/>
    </xf>
    <xf numFmtId="41" fontId="6" fillId="0" borderId="1" xfId="1" applyNumberFormat="1" applyFont="1" applyFill="1" applyBorder="1" applyAlignment="1">
      <alignment vertical="center"/>
    </xf>
    <xf numFmtId="41" fontId="6" fillId="0" borderId="1" xfId="0" applyNumberFormat="1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37" fontId="1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37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37" fontId="11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37" fontId="19" fillId="0" borderId="1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41" fontId="11" fillId="0" borderId="0" xfId="0" applyNumberFormat="1" applyFont="1" applyFill="1" applyAlignment="1">
      <alignment vertical="center"/>
    </xf>
    <xf numFmtId="41" fontId="11" fillId="0" borderId="1" xfId="0" applyNumberFormat="1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41" fontId="11" fillId="0" borderId="0" xfId="0" quotePrefix="1" applyNumberFormat="1" applyFont="1" applyFill="1" applyBorder="1" applyAlignment="1">
      <alignment horizontal="right" vertical="center"/>
    </xf>
    <xf numFmtId="41" fontId="11" fillId="0" borderId="3" xfId="0" applyNumberFormat="1" applyFont="1" applyFill="1" applyBorder="1" applyAlignment="1">
      <alignment vertical="center"/>
    </xf>
    <xf numFmtId="43" fontId="11" fillId="0" borderId="3" xfId="1" applyFont="1" applyFill="1" applyBorder="1" applyAlignment="1">
      <alignment vertical="center"/>
    </xf>
    <xf numFmtId="43" fontId="11" fillId="0" borderId="0" xfId="1" applyFont="1" applyFill="1" applyAlignment="1">
      <alignment vertical="center"/>
    </xf>
    <xf numFmtId="37" fontId="11" fillId="0" borderId="0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41" fontId="11" fillId="0" borderId="2" xfId="0" applyNumberFormat="1" applyFont="1" applyFill="1" applyBorder="1" applyAlignment="1">
      <alignment vertical="center"/>
    </xf>
    <xf numFmtId="39" fontId="11" fillId="0" borderId="0" xfId="0" applyNumberFormat="1" applyFont="1" applyFill="1" applyAlignment="1">
      <alignment vertical="center"/>
    </xf>
    <xf numFmtId="39" fontId="11" fillId="0" borderId="0" xfId="0" applyNumberFormat="1" applyFont="1" applyFill="1" applyBorder="1" applyAlignment="1">
      <alignment vertical="center"/>
    </xf>
    <xf numFmtId="37" fontId="11" fillId="0" borderId="0" xfId="0" applyNumberFormat="1" applyFont="1" applyFill="1" applyAlignment="1">
      <alignment horizontal="center" vertical="center"/>
    </xf>
    <xf numFmtId="41" fontId="11" fillId="0" borderId="0" xfId="0" applyNumberFormat="1" applyFont="1" applyFill="1" applyAlignment="1">
      <alignment horizontal="right" vertical="center"/>
    </xf>
    <xf numFmtId="41" fontId="11" fillId="0" borderId="0" xfId="1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center"/>
    </xf>
    <xf numFmtId="41" fontId="11" fillId="0" borderId="1" xfId="0" applyNumberFormat="1" applyFont="1" applyFill="1" applyBorder="1" applyAlignment="1">
      <alignment horizontal="right" vertical="center"/>
    </xf>
    <xf numFmtId="41" fontId="22" fillId="0" borderId="0" xfId="0" applyNumberFormat="1" applyFont="1" applyFill="1" applyBorder="1" applyAlignment="1">
      <alignment vertical="center"/>
    </xf>
    <xf numFmtId="0" fontId="16" fillId="0" borderId="0" xfId="6" applyFont="1" applyFill="1" applyAlignment="1">
      <alignment vertical="center"/>
    </xf>
    <xf numFmtId="0" fontId="18" fillId="0" borderId="0" xfId="6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4" fontId="11" fillId="0" borderId="0" xfId="1" applyNumberFormat="1" applyFont="1" applyFill="1" applyAlignment="1">
      <alignment vertical="center"/>
    </xf>
    <xf numFmtId="164" fontId="11" fillId="0" borderId="1" xfId="1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horizontal="left" vertical="center"/>
    </xf>
    <xf numFmtId="41" fontId="16" fillId="0" borderId="0" xfId="0" applyNumberFormat="1" applyFont="1" applyFill="1" applyBorder="1" applyAlignment="1">
      <alignment horizontal="right" vertical="center"/>
    </xf>
    <xf numFmtId="41" fontId="16" fillId="0" borderId="0" xfId="1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41" fontId="6" fillId="0" borderId="0" xfId="6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center" vertical="center"/>
    </xf>
    <xf numFmtId="41" fontId="11" fillId="0" borderId="2" xfId="1" applyNumberFormat="1" applyFont="1" applyFill="1" applyBorder="1" applyAlignment="1">
      <alignment vertical="center"/>
    </xf>
    <xf numFmtId="41" fontId="11" fillId="0" borderId="0" xfId="0" quotePrefix="1" applyNumberFormat="1" applyFont="1" applyFill="1" applyAlignment="1">
      <alignment horizontal="right" vertical="center"/>
    </xf>
    <xf numFmtId="41" fontId="11" fillId="0" borderId="0" xfId="7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41" fontId="11" fillId="0" borderId="0" xfId="7" applyNumberFormat="1" applyFont="1" applyFill="1" applyAlignment="1">
      <alignment vertical="center"/>
    </xf>
    <xf numFmtId="41" fontId="11" fillId="0" borderId="3" xfId="1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quotePrefix="1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6" xfId="0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6" fillId="0" borderId="0" xfId="6" applyNumberFormat="1" applyFont="1" applyFill="1" applyAlignment="1">
      <alignment horizontal="right" vertical="center"/>
    </xf>
    <xf numFmtId="0" fontId="6" fillId="0" borderId="0" xfId="6" applyFont="1" applyFill="1" applyBorder="1" applyAlignment="1">
      <alignment vertical="center"/>
    </xf>
    <xf numFmtId="37" fontId="6" fillId="0" borderId="0" xfId="6" applyNumberFormat="1" applyFont="1" applyFill="1" applyAlignment="1">
      <alignment horizontal="right" vertical="center"/>
    </xf>
    <xf numFmtId="0" fontId="17" fillId="0" borderId="0" xfId="6" applyFont="1" applyFill="1" applyAlignment="1">
      <alignment horizontal="center" vertical="center"/>
    </xf>
    <xf numFmtId="41" fontId="16" fillId="0" borderId="0" xfId="0" applyNumberFormat="1" applyFont="1" applyFill="1" applyAlignment="1">
      <alignment vertical="center"/>
    </xf>
    <xf numFmtId="41" fontId="6" fillId="0" borderId="0" xfId="6" applyNumberFormat="1" applyFont="1" applyFill="1" applyBorder="1" applyAlignment="1">
      <alignment horizontal="right" vertical="center"/>
    </xf>
    <xf numFmtId="41" fontId="6" fillId="0" borderId="0" xfId="6" applyNumberFormat="1" applyFont="1" applyFill="1" applyBorder="1" applyAlignment="1">
      <alignment vertical="center"/>
    </xf>
    <xf numFmtId="41" fontId="6" fillId="0" borderId="4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vertical="center"/>
    </xf>
    <xf numFmtId="41" fontId="16" fillId="0" borderId="0" xfId="6" applyNumberFormat="1" applyFont="1" applyFill="1" applyAlignment="1">
      <alignment vertical="center"/>
    </xf>
    <xf numFmtId="43" fontId="24" fillId="0" borderId="0" xfId="0" applyNumberFormat="1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1" xfId="0" quotePrefix="1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43" fontId="19" fillId="0" borderId="0" xfId="1" applyFont="1" applyFill="1" applyAlignment="1">
      <alignment vertical="center"/>
    </xf>
    <xf numFmtId="43" fontId="11" fillId="0" borderId="0" xfId="1" applyFont="1" applyFill="1" applyAlignment="1">
      <alignment horizontal="center" vertical="center"/>
    </xf>
    <xf numFmtId="43" fontId="19" fillId="0" borderId="0" xfId="1" applyFont="1" applyFill="1" applyAlignment="1">
      <alignment horizontal="center" vertical="center"/>
    </xf>
    <xf numFmtId="43" fontId="11" fillId="0" borderId="0" xfId="1" applyFont="1" applyFill="1" applyBorder="1" applyAlignment="1">
      <alignment vertical="center"/>
    </xf>
    <xf numFmtId="0" fontId="6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9" fillId="0" borderId="0" xfId="13" applyFont="1" applyFill="1" applyAlignment="1">
      <alignment vertical="center"/>
    </xf>
    <xf numFmtId="167" fontId="19" fillId="0" borderId="0" xfId="13" applyNumberFormat="1" applyFont="1" applyFill="1" applyAlignment="1">
      <alignment vertical="center"/>
    </xf>
    <xf numFmtId="37" fontId="19" fillId="0" borderId="0" xfId="13" applyNumberFormat="1" applyFont="1" applyFill="1" applyAlignment="1">
      <alignment vertical="center"/>
    </xf>
    <xf numFmtId="0" fontId="11" fillId="0" borderId="0" xfId="13" applyFont="1" applyFill="1" applyAlignment="1">
      <alignment horizontal="center" vertical="center"/>
    </xf>
    <xf numFmtId="167" fontId="11" fillId="0" borderId="0" xfId="13" applyNumberFormat="1" applyFont="1" applyFill="1" applyAlignment="1">
      <alignment vertical="center"/>
    </xf>
    <xf numFmtId="0" fontId="11" fillId="0" borderId="0" xfId="13" applyFont="1" applyFill="1" applyAlignment="1">
      <alignment vertical="center"/>
    </xf>
    <xf numFmtId="37" fontId="11" fillId="0" borderId="0" xfId="13" applyNumberFormat="1" applyFont="1" applyFill="1" applyAlignment="1">
      <alignment vertical="center"/>
    </xf>
    <xf numFmtId="167" fontId="11" fillId="0" borderId="0" xfId="13" applyNumberFormat="1" applyFont="1" applyFill="1" applyAlignment="1">
      <alignment horizontal="right" vertical="center"/>
    </xf>
    <xf numFmtId="37" fontId="11" fillId="0" borderId="0" xfId="13" applyNumberFormat="1" applyFont="1" applyFill="1" applyAlignment="1">
      <alignment horizontal="right" vertical="center"/>
    </xf>
    <xf numFmtId="0" fontId="19" fillId="0" borderId="0" xfId="13" applyFont="1" applyFill="1" applyAlignment="1">
      <alignment horizontal="center" vertical="center"/>
    </xf>
    <xf numFmtId="167" fontId="19" fillId="0" borderId="1" xfId="13" applyNumberFormat="1" applyFont="1" applyFill="1" applyBorder="1" applyAlignment="1">
      <alignment horizontal="center" vertical="center"/>
    </xf>
    <xf numFmtId="0" fontId="19" fillId="0" borderId="1" xfId="13" applyFont="1" applyFill="1" applyBorder="1" applyAlignment="1">
      <alignment horizontal="center" vertical="center"/>
    </xf>
    <xf numFmtId="37" fontId="19" fillId="0" borderId="1" xfId="13" applyNumberFormat="1" applyFont="1" applyFill="1" applyBorder="1" applyAlignment="1">
      <alignment horizontal="center" vertical="center"/>
    </xf>
    <xf numFmtId="0" fontId="20" fillId="0" borderId="0" xfId="13" applyFont="1" applyFill="1" applyAlignment="1">
      <alignment horizontal="center" vertical="center"/>
    </xf>
    <xf numFmtId="0" fontId="11" fillId="0" borderId="2" xfId="13" applyFont="1" applyFill="1" applyBorder="1" applyAlignment="1">
      <alignment horizontal="center" vertical="center"/>
    </xf>
    <xf numFmtId="41" fontId="11" fillId="0" borderId="0" xfId="13" applyNumberFormat="1" applyFont="1" applyFill="1" applyAlignment="1">
      <alignment vertical="center"/>
    </xf>
    <xf numFmtId="41" fontId="11" fillId="0" borderId="0" xfId="13" quotePrefix="1" applyNumberFormat="1" applyFont="1" applyFill="1" applyAlignment="1">
      <alignment horizontal="right" vertical="center"/>
    </xf>
    <xf numFmtId="41" fontId="11" fillId="0" borderId="0" xfId="13" applyNumberFormat="1" applyFont="1" applyFill="1" applyAlignment="1">
      <alignment horizontal="right" vertical="center"/>
    </xf>
    <xf numFmtId="43" fontId="11" fillId="0" borderId="0" xfId="13" applyNumberFormat="1" applyFont="1" applyFill="1" applyAlignment="1">
      <alignment vertical="center"/>
    </xf>
    <xf numFmtId="41" fontId="11" fillId="0" borderId="1" xfId="13" applyNumberFormat="1" applyFont="1" applyFill="1" applyBorder="1" applyAlignment="1">
      <alignment vertical="center"/>
    </xf>
    <xf numFmtId="41" fontId="11" fillId="0" borderId="1" xfId="13" applyNumberFormat="1" applyFont="1" applyFill="1" applyBorder="1" applyAlignment="1">
      <alignment horizontal="right" vertical="center"/>
    </xf>
    <xf numFmtId="41" fontId="19" fillId="0" borderId="0" xfId="13" applyNumberFormat="1" applyFont="1" applyFill="1" applyAlignment="1">
      <alignment vertical="center"/>
    </xf>
    <xf numFmtId="41" fontId="19" fillId="0" borderId="1" xfId="13" applyNumberFormat="1" applyFont="1" applyFill="1" applyBorder="1" applyAlignment="1">
      <alignment horizontal="center" vertical="center"/>
    </xf>
    <xf numFmtId="41" fontId="19" fillId="0" borderId="0" xfId="13" applyNumberFormat="1" applyFont="1" applyFill="1" applyAlignment="1">
      <alignment horizontal="center" vertical="center"/>
    </xf>
    <xf numFmtId="41" fontId="11" fillId="0" borderId="0" xfId="13" applyNumberFormat="1" applyFont="1" applyFill="1" applyAlignment="1">
      <alignment horizontal="center" vertical="center"/>
    </xf>
    <xf numFmtId="41" fontId="11" fillId="0" borderId="2" xfId="13" applyNumberFormat="1" applyFont="1" applyFill="1" applyBorder="1" applyAlignment="1">
      <alignment vertical="center"/>
    </xf>
    <xf numFmtId="0" fontId="21" fillId="0" borderId="0" xfId="13" applyFont="1" applyFill="1" applyAlignment="1">
      <alignment horizontal="center" vertical="center"/>
    </xf>
    <xf numFmtId="41" fontId="11" fillId="0" borderId="3" xfId="13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vertical="center"/>
    </xf>
    <xf numFmtId="41" fontId="16" fillId="0" borderId="0" xfId="0" applyNumberFormat="1" applyFont="1" applyFill="1" applyAlignment="1">
      <alignment horizontal="left" vertical="center"/>
    </xf>
    <xf numFmtId="41" fontId="16" fillId="0" borderId="0" xfId="0" applyNumberFormat="1" applyFont="1" applyFill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41" fontId="11" fillId="0" borderId="1" xfId="0" quotePrefix="1" applyNumberFormat="1" applyFont="1" applyFill="1" applyBorder="1" applyAlignment="1">
      <alignment horizontal="right" vertical="center"/>
    </xf>
    <xf numFmtId="0" fontId="19" fillId="0" borderId="0" xfId="13" applyFont="1" applyFill="1" applyBorder="1" applyAlignment="1">
      <alignment vertical="center"/>
    </xf>
    <xf numFmtId="0" fontId="11" fillId="0" borderId="0" xfId="13" applyFont="1" applyFill="1" applyBorder="1" applyAlignment="1">
      <alignment vertical="center"/>
    </xf>
    <xf numFmtId="0" fontId="19" fillId="0" borderId="0" xfId="13" applyFont="1" applyFill="1" applyBorder="1" applyAlignment="1">
      <alignment horizontal="center" vertical="center"/>
    </xf>
    <xf numFmtId="0" fontId="20" fillId="0" borderId="0" xfId="13" applyFont="1" applyFill="1" applyBorder="1" applyAlignment="1">
      <alignment horizontal="center" vertical="center"/>
    </xf>
    <xf numFmtId="41" fontId="11" fillId="0" borderId="0" xfId="13" applyNumberFormat="1" applyFont="1" applyFill="1" applyBorder="1" applyAlignment="1">
      <alignment vertical="center"/>
    </xf>
    <xf numFmtId="41" fontId="11" fillId="0" borderId="0" xfId="13" quotePrefix="1" applyNumberFormat="1" applyFont="1" applyFill="1" applyBorder="1" applyAlignment="1">
      <alignment horizontal="right" vertical="center"/>
    </xf>
    <xf numFmtId="41" fontId="19" fillId="0" borderId="0" xfId="13" applyNumberFormat="1" applyFont="1" applyFill="1" applyBorder="1" applyAlignment="1">
      <alignment vertical="center"/>
    </xf>
    <xf numFmtId="41" fontId="19" fillId="0" borderId="0" xfId="13" applyNumberFormat="1" applyFont="1" applyFill="1" applyBorder="1" applyAlignment="1">
      <alignment horizontal="center" vertical="center"/>
    </xf>
    <xf numFmtId="41" fontId="11" fillId="0" borderId="0" xfId="13" applyNumberFormat="1" applyFont="1" applyFill="1" applyBorder="1" applyAlignment="1">
      <alignment horizontal="center" vertical="center"/>
    </xf>
    <xf numFmtId="41" fontId="11" fillId="0" borderId="0" xfId="13" applyNumberFormat="1" applyFont="1" applyFill="1" applyBorder="1" applyAlignment="1">
      <alignment horizontal="right" vertical="center"/>
    </xf>
    <xf numFmtId="37" fontId="11" fillId="0" borderId="0" xfId="13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</cellXfs>
  <cellStyles count="15">
    <cellStyle name="Comma" xfId="1" builtinId="3"/>
    <cellStyle name="Comma 2" xfId="2"/>
    <cellStyle name="Custom" xfId="3"/>
    <cellStyle name="Euro" xfId="4"/>
    <cellStyle name="no dec" xfId="5"/>
    <cellStyle name="Normal" xfId="0" builtinId="0"/>
    <cellStyle name="Normal 2" xfId="6"/>
    <cellStyle name="Normal 2 2" xfId="13"/>
    <cellStyle name="Normal 3" xfId="11"/>
    <cellStyle name="Normal 4 2" xfId="14"/>
    <cellStyle name="Normal_Xl0000021" xfId="12"/>
    <cellStyle name="Percent" xfId="7" builtinId="5"/>
    <cellStyle name="pwstyle" xfId="8"/>
    <cellStyle name="เชื่อมโยงหลายมิติ" xfId="9"/>
    <cellStyle name="ตามการเชื่อมโยงหลายมิติ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22\AW\Conso-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"/>
      <sheetName val="CF"/>
      <sheetName val="detail"/>
      <sheetName val="deferred tax"/>
      <sheetName val="CGL-Time share exp"/>
      <sheetName val="AR other mapping"/>
      <sheetName val="Inven mapping"/>
      <sheetName val="OCA mapping"/>
      <sheetName val="AP mapping"/>
      <sheetName val="ONCL mapping"/>
      <sheetName val="Depre exp"/>
      <sheetName val="summary 2018 restate"/>
      <sheetName val="Restate golf membership exp"/>
      <sheetName val="Elim20 close LCL"/>
      <sheetName val="Loan movement"/>
      <sheetName val="Elim24 increase share"/>
      <sheetName val="Restate provision golf membersh"/>
      <sheetName val="Capitalised commission"/>
      <sheetName val="App-13"/>
      <sheetName val="CE-conso"/>
      <sheetName val="CE-company"/>
      <sheetName val="CE-conso YTD"/>
      <sheetName val="CE-company YTD"/>
    </sheetNames>
    <sheetDataSet>
      <sheetData sheetId="0"/>
      <sheetData sheetId="1">
        <row r="80">
          <cell r="AT80">
            <v>386185063.90999997</v>
          </cell>
        </row>
        <row r="177">
          <cell r="CB177">
            <v>0</v>
          </cell>
        </row>
      </sheetData>
      <sheetData sheetId="2">
        <row r="498">
          <cell r="F498">
            <v>0.49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00"/>
  <sheetViews>
    <sheetView showGridLines="0" tabSelected="1" view="pageBreakPreview" topLeftCell="A46" zoomScaleNormal="106" zoomScaleSheetLayoutView="100" workbookViewId="0">
      <selection activeCell="F58" sqref="F58"/>
    </sheetView>
  </sheetViews>
  <sheetFormatPr defaultColWidth="9.28515625" defaultRowHeight="21.75" customHeight="1"/>
  <cols>
    <col min="1" max="1" width="43.7109375" style="39" customWidth="1"/>
    <col min="2" max="2" width="6.28515625" style="39" customWidth="1"/>
    <col min="3" max="3" width="1.28515625" style="39" customWidth="1"/>
    <col min="4" max="4" width="15.7109375" style="39" customWidth="1"/>
    <col min="5" max="5" width="1.28515625" style="39" customWidth="1"/>
    <col min="6" max="6" width="15.7109375" style="38" customWidth="1"/>
    <col min="7" max="7" width="1.28515625" style="39" customWidth="1"/>
    <col min="8" max="8" width="15.7109375" style="39" customWidth="1"/>
    <col min="9" max="9" width="1.28515625" style="39" customWidth="1"/>
    <col min="10" max="10" width="15.7109375" style="38" customWidth="1"/>
    <col min="11" max="11" width="0.42578125" style="39" customWidth="1"/>
    <col min="12" max="12" width="14.7109375" style="39" bestFit="1" customWidth="1"/>
    <col min="13" max="13" width="15.5703125" style="39" bestFit="1" customWidth="1"/>
    <col min="14" max="14" width="12.42578125" style="39" customWidth="1"/>
    <col min="15" max="16384" width="9.28515625" style="39"/>
  </cols>
  <sheetData>
    <row r="1" spans="1:13" s="35" customFormat="1" ht="21.75" customHeight="1">
      <c r="A1" s="35" t="s">
        <v>0</v>
      </c>
      <c r="F1" s="36"/>
      <c r="J1" s="36"/>
    </row>
    <row r="2" spans="1:13" s="35" customFormat="1" ht="21.75" customHeight="1">
      <c r="A2" s="35" t="s">
        <v>96</v>
      </c>
      <c r="F2" s="36"/>
      <c r="J2" s="36"/>
    </row>
    <row r="3" spans="1:13" s="35" customFormat="1" ht="21.75" customHeight="1">
      <c r="A3" s="35" t="s">
        <v>230</v>
      </c>
      <c r="F3" s="36"/>
      <c r="J3" s="36"/>
    </row>
    <row r="4" spans="1:13" ht="21.75" customHeight="1">
      <c r="J4" s="40" t="s">
        <v>1</v>
      </c>
    </row>
    <row r="5" spans="1:13" s="41" customFormat="1" ht="21.75" customHeight="1">
      <c r="A5" s="45"/>
      <c r="D5" s="165" t="s">
        <v>2</v>
      </c>
      <c r="E5" s="165"/>
      <c r="F5" s="165"/>
      <c r="G5" s="37"/>
      <c r="H5" s="165" t="s">
        <v>3</v>
      </c>
      <c r="I5" s="165"/>
      <c r="J5" s="165"/>
      <c r="K5" s="165"/>
    </row>
    <row r="6" spans="1:13" s="37" customFormat="1" ht="21.75" customHeight="1">
      <c r="B6" s="109" t="s">
        <v>4</v>
      </c>
      <c r="D6" s="110" t="s">
        <v>231</v>
      </c>
      <c r="F6" s="111" t="s">
        <v>145</v>
      </c>
      <c r="H6" s="110" t="s">
        <v>231</v>
      </c>
      <c r="J6" s="111" t="s">
        <v>145</v>
      </c>
      <c r="K6" s="44"/>
    </row>
    <row r="7" spans="1:13" s="37" customFormat="1" ht="21.75" customHeight="1">
      <c r="A7" s="35" t="s">
        <v>5</v>
      </c>
      <c r="F7" s="64"/>
      <c r="J7" s="64"/>
    </row>
    <row r="8" spans="1:13" ht="21.75" customHeight="1">
      <c r="A8" s="35" t="s">
        <v>6</v>
      </c>
    </row>
    <row r="9" spans="1:13" ht="21.75" customHeight="1">
      <c r="A9" s="39" t="s">
        <v>7</v>
      </c>
      <c r="B9" s="46">
        <v>6</v>
      </c>
      <c r="D9" s="66">
        <v>1178455101</v>
      </c>
      <c r="E9" s="48"/>
      <c r="F9" s="66">
        <v>731928991</v>
      </c>
      <c r="G9" s="48"/>
      <c r="H9" s="66">
        <v>45351036</v>
      </c>
      <c r="I9" s="48"/>
      <c r="J9" s="66">
        <v>148700860</v>
      </c>
      <c r="K9" s="48"/>
      <c r="L9" s="48"/>
      <c r="M9" s="48"/>
    </row>
    <row r="10" spans="1:13" ht="21.75" customHeight="1">
      <c r="A10" s="39" t="s">
        <v>62</v>
      </c>
      <c r="B10" s="46">
        <v>8</v>
      </c>
      <c r="D10" s="66">
        <v>901674139</v>
      </c>
      <c r="E10" s="48"/>
      <c r="F10" s="66">
        <v>679490563</v>
      </c>
      <c r="G10" s="48"/>
      <c r="H10" s="66">
        <v>281071385</v>
      </c>
      <c r="I10" s="48"/>
      <c r="J10" s="66">
        <v>274005008</v>
      </c>
      <c r="K10" s="48"/>
      <c r="L10" s="48"/>
      <c r="M10" s="48"/>
    </row>
    <row r="11" spans="1:13" ht="21.75" customHeight="1">
      <c r="A11" s="39" t="s">
        <v>63</v>
      </c>
      <c r="B11" s="46">
        <v>10</v>
      </c>
      <c r="D11" s="66">
        <v>69883601</v>
      </c>
      <c r="E11" s="48"/>
      <c r="F11" s="66">
        <v>60150452</v>
      </c>
      <c r="G11" s="48"/>
      <c r="H11" s="66">
        <v>0</v>
      </c>
      <c r="I11" s="48"/>
      <c r="J11" s="66">
        <v>0</v>
      </c>
      <c r="K11" s="48"/>
      <c r="L11" s="48"/>
      <c r="M11" s="48"/>
    </row>
    <row r="12" spans="1:13" ht="21.75" customHeight="1">
      <c r="A12" s="39" t="s">
        <v>64</v>
      </c>
      <c r="B12" s="46">
        <v>11</v>
      </c>
      <c r="D12" s="66">
        <v>3657996712</v>
      </c>
      <c r="E12" s="48"/>
      <c r="F12" s="66">
        <v>4172649163</v>
      </c>
      <c r="G12" s="48"/>
      <c r="H12" s="66">
        <v>111429000</v>
      </c>
      <c r="I12" s="48"/>
      <c r="J12" s="66">
        <v>111429000</v>
      </c>
      <c r="K12" s="85"/>
      <c r="L12" s="48"/>
      <c r="M12" s="48"/>
    </row>
    <row r="13" spans="1:13" ht="21.75" customHeight="1">
      <c r="A13" s="39" t="s">
        <v>118</v>
      </c>
      <c r="B13" s="46">
        <v>12</v>
      </c>
      <c r="D13" s="66">
        <v>185667433</v>
      </c>
      <c r="E13" s="48"/>
      <c r="F13" s="66">
        <v>151626427</v>
      </c>
      <c r="G13" s="48"/>
      <c r="H13" s="66">
        <v>0</v>
      </c>
      <c r="I13" s="48"/>
      <c r="J13" s="66">
        <v>0</v>
      </c>
      <c r="K13" s="85"/>
      <c r="L13" s="48"/>
      <c r="M13" s="48"/>
    </row>
    <row r="14" spans="1:13" ht="21.75" customHeight="1">
      <c r="A14" s="39" t="s">
        <v>241</v>
      </c>
      <c r="B14" s="46">
        <v>13</v>
      </c>
      <c r="D14" s="66">
        <v>16685254</v>
      </c>
      <c r="E14" s="48"/>
      <c r="F14" s="66">
        <v>2366917</v>
      </c>
      <c r="G14" s="48"/>
      <c r="H14" s="66">
        <v>2373947</v>
      </c>
      <c r="I14" s="48"/>
      <c r="J14" s="66">
        <v>2366917</v>
      </c>
      <c r="K14" s="48"/>
      <c r="L14" s="48"/>
      <c r="M14" s="48"/>
    </row>
    <row r="15" spans="1:13" ht="21.75" customHeight="1">
      <c r="A15" s="39" t="s">
        <v>8</v>
      </c>
      <c r="B15" s="46">
        <v>14</v>
      </c>
      <c r="D15" s="66">
        <f>158961690</f>
        <v>158961690</v>
      </c>
      <c r="E15" s="48"/>
      <c r="F15" s="66">
        <v>109394606</v>
      </c>
      <c r="G15" s="48"/>
      <c r="H15" s="66">
        <v>10511337</v>
      </c>
      <c r="I15" s="48"/>
      <c r="J15" s="66">
        <v>5425898</v>
      </c>
      <c r="K15" s="48"/>
      <c r="L15" s="48"/>
      <c r="M15" s="48"/>
    </row>
    <row r="16" spans="1:13" ht="21.75" customHeight="1">
      <c r="A16" s="35" t="s">
        <v>9</v>
      </c>
      <c r="B16" s="46"/>
      <c r="D16" s="86">
        <f>SUM(D9:D15)</f>
        <v>6169323930</v>
      </c>
      <c r="E16" s="48"/>
      <c r="F16" s="86">
        <f>SUM(F9:F15)</f>
        <v>5907607119</v>
      </c>
      <c r="G16" s="48"/>
      <c r="H16" s="86">
        <f>SUM(H9:H15)</f>
        <v>450736705</v>
      </c>
      <c r="I16" s="48"/>
      <c r="J16" s="86">
        <f>SUM(J9:J15)</f>
        <v>541927683</v>
      </c>
      <c r="K16" s="48"/>
    </row>
    <row r="17" spans="1:13" ht="21.75" customHeight="1">
      <c r="A17" s="35" t="s">
        <v>10</v>
      </c>
      <c r="B17" s="46"/>
      <c r="D17" s="66"/>
      <c r="E17" s="48"/>
      <c r="F17" s="66"/>
      <c r="G17" s="48"/>
      <c r="H17" s="66"/>
      <c r="I17" s="48"/>
      <c r="J17" s="66"/>
    </row>
    <row r="18" spans="1:13" ht="21.75" customHeight="1">
      <c r="A18" s="39" t="s">
        <v>137</v>
      </c>
      <c r="B18" s="46">
        <v>7</v>
      </c>
      <c r="D18" s="66">
        <v>0</v>
      </c>
      <c r="E18" s="48"/>
      <c r="F18" s="66">
        <v>38101359</v>
      </c>
      <c r="G18" s="48"/>
      <c r="H18" s="66">
        <v>0</v>
      </c>
      <c r="I18" s="48"/>
      <c r="J18" s="66">
        <v>0</v>
      </c>
      <c r="L18" s="48"/>
      <c r="M18" s="48"/>
    </row>
    <row r="19" spans="1:13" ht="21.75" customHeight="1">
      <c r="A19" s="39" t="s">
        <v>124</v>
      </c>
      <c r="B19" s="46">
        <v>13</v>
      </c>
      <c r="D19" s="66">
        <v>865168194</v>
      </c>
      <c r="E19" s="48"/>
      <c r="F19" s="66">
        <v>846271547</v>
      </c>
      <c r="G19" s="48"/>
      <c r="H19" s="66">
        <v>0</v>
      </c>
      <c r="I19" s="48"/>
      <c r="J19" s="66">
        <v>0</v>
      </c>
      <c r="L19" s="48"/>
      <c r="M19" s="48"/>
    </row>
    <row r="20" spans="1:13" ht="21.75" customHeight="1">
      <c r="A20" s="39" t="s">
        <v>11</v>
      </c>
      <c r="B20" s="46">
        <v>15</v>
      </c>
      <c r="D20" s="66">
        <v>420722133</v>
      </c>
      <c r="E20" s="48"/>
      <c r="F20" s="66">
        <v>471147372</v>
      </c>
      <c r="G20" s="48"/>
      <c r="H20" s="66">
        <v>0</v>
      </c>
      <c r="I20" s="48"/>
      <c r="J20" s="66">
        <v>0</v>
      </c>
      <c r="K20" s="37"/>
      <c r="L20" s="48"/>
      <c r="M20" s="48"/>
    </row>
    <row r="21" spans="1:13" ht="21.75" customHeight="1">
      <c r="A21" s="39" t="s">
        <v>12</v>
      </c>
      <c r="B21" s="46">
        <v>16</v>
      </c>
      <c r="D21" s="66">
        <v>0</v>
      </c>
      <c r="E21" s="48"/>
      <c r="F21" s="66">
        <v>0</v>
      </c>
      <c r="G21" s="48"/>
      <c r="H21" s="66">
        <v>4242655372</v>
      </c>
      <c r="I21" s="48"/>
      <c r="J21" s="66">
        <v>4242655371</v>
      </c>
      <c r="K21" s="37"/>
      <c r="L21" s="48"/>
      <c r="M21" s="48"/>
    </row>
    <row r="22" spans="1:13" ht="21.75" customHeight="1">
      <c r="A22" s="39" t="s">
        <v>65</v>
      </c>
      <c r="B22" s="46">
        <v>17</v>
      </c>
      <c r="D22" s="66">
        <v>991141335</v>
      </c>
      <c r="E22" s="48"/>
      <c r="F22" s="66">
        <v>985618483</v>
      </c>
      <c r="G22" s="48"/>
      <c r="H22" s="66">
        <v>777454049</v>
      </c>
      <c r="I22" s="48"/>
      <c r="J22" s="66">
        <v>777454049</v>
      </c>
      <c r="K22" s="37"/>
      <c r="L22" s="48"/>
      <c r="M22" s="48"/>
    </row>
    <row r="23" spans="1:13" ht="21.75" customHeight="1">
      <c r="A23" s="39" t="s">
        <v>13</v>
      </c>
      <c r="B23" s="46">
        <v>9</v>
      </c>
      <c r="D23" s="66">
        <v>0</v>
      </c>
      <c r="E23" s="48"/>
      <c r="F23" s="66">
        <v>0</v>
      </c>
      <c r="G23" s="48"/>
      <c r="H23" s="66">
        <v>1467550000</v>
      </c>
      <c r="I23" s="48"/>
      <c r="J23" s="66">
        <v>1286550000</v>
      </c>
      <c r="L23" s="48"/>
      <c r="M23" s="48"/>
    </row>
    <row r="24" spans="1:13" ht="21.75" customHeight="1">
      <c r="A24" s="39" t="s">
        <v>67</v>
      </c>
      <c r="B24" s="46">
        <v>18</v>
      </c>
      <c r="D24" s="66">
        <v>1416981060</v>
      </c>
      <c r="E24" s="48"/>
      <c r="F24" s="66">
        <v>1382223342</v>
      </c>
      <c r="G24" s="48"/>
      <c r="H24" s="66">
        <v>194498210</v>
      </c>
      <c r="I24" s="48"/>
      <c r="J24" s="66">
        <v>181602200</v>
      </c>
      <c r="K24" s="87"/>
      <c r="L24" s="48"/>
      <c r="M24" s="48"/>
    </row>
    <row r="25" spans="1:13" ht="21.75" customHeight="1">
      <c r="A25" s="39" t="s">
        <v>66</v>
      </c>
      <c r="B25" s="46">
        <v>19</v>
      </c>
      <c r="D25" s="66">
        <v>12250505682</v>
      </c>
      <c r="E25" s="48"/>
      <c r="F25" s="66">
        <v>12329261455</v>
      </c>
      <c r="G25" s="48"/>
      <c r="H25" s="66">
        <v>33224265</v>
      </c>
      <c r="I25" s="48"/>
      <c r="J25" s="66">
        <v>36375900</v>
      </c>
      <c r="L25" s="48"/>
      <c r="M25" s="48"/>
    </row>
    <row r="26" spans="1:13" ht="21.75" customHeight="1">
      <c r="A26" s="39" t="s">
        <v>125</v>
      </c>
      <c r="B26" s="46">
        <v>20</v>
      </c>
      <c r="D26" s="66">
        <f>41976958+2703258</f>
        <v>44680216</v>
      </c>
      <c r="E26" s="48"/>
      <c r="F26" s="66">
        <v>38467763</v>
      </c>
      <c r="G26" s="48"/>
      <c r="H26" s="66">
        <v>4024903</v>
      </c>
      <c r="I26" s="48"/>
      <c r="J26" s="66">
        <v>1292455</v>
      </c>
      <c r="L26" s="48"/>
      <c r="M26" s="48"/>
    </row>
    <row r="27" spans="1:13" ht="21.75" customHeight="1">
      <c r="A27" s="39" t="s">
        <v>105</v>
      </c>
      <c r="B27" s="46">
        <v>33</v>
      </c>
      <c r="D27" s="66">
        <v>69284925</v>
      </c>
      <c r="E27" s="48"/>
      <c r="F27" s="66">
        <v>35446865</v>
      </c>
      <c r="G27" s="48"/>
      <c r="H27" s="66">
        <v>0</v>
      </c>
      <c r="I27" s="48"/>
      <c r="J27" s="66">
        <v>0</v>
      </c>
      <c r="L27" s="48"/>
      <c r="M27" s="48"/>
    </row>
    <row r="28" spans="1:13" ht="21.75" customHeight="1">
      <c r="A28" s="39" t="s">
        <v>14</v>
      </c>
      <c r="B28" s="46">
        <v>16</v>
      </c>
      <c r="D28" s="66">
        <v>407903881</v>
      </c>
      <c r="E28" s="48"/>
      <c r="F28" s="66">
        <v>407903881</v>
      </c>
      <c r="G28" s="48"/>
      <c r="H28" s="66">
        <v>0</v>
      </c>
      <c r="I28" s="48"/>
      <c r="J28" s="66">
        <v>0</v>
      </c>
      <c r="K28" s="88"/>
      <c r="L28" s="48"/>
      <c r="M28" s="48"/>
    </row>
    <row r="29" spans="1:13" ht="21.75" customHeight="1">
      <c r="A29" s="39" t="s">
        <v>15</v>
      </c>
      <c r="B29" s="46"/>
      <c r="D29" s="89">
        <v>47601188</v>
      </c>
      <c r="E29" s="48"/>
      <c r="F29" s="89">
        <v>45721906</v>
      </c>
      <c r="G29" s="48"/>
      <c r="H29" s="89">
        <v>10879792</v>
      </c>
      <c r="I29" s="48"/>
      <c r="J29" s="89">
        <v>9438108</v>
      </c>
      <c r="K29" s="51"/>
      <c r="L29" s="48"/>
      <c r="M29" s="48"/>
    </row>
    <row r="30" spans="1:13" ht="21.75" customHeight="1">
      <c r="A30" s="35" t="s">
        <v>16</v>
      </c>
      <c r="B30" s="46"/>
      <c r="D30" s="89">
        <f>SUM(D18:D29)</f>
        <v>16513988614</v>
      </c>
      <c r="E30" s="48"/>
      <c r="F30" s="89">
        <f>SUM(F18:F29)</f>
        <v>16580163973</v>
      </c>
      <c r="G30" s="48"/>
      <c r="H30" s="89">
        <f>SUM(H18:H29)</f>
        <v>6730286591</v>
      </c>
      <c r="I30" s="48"/>
      <c r="J30" s="89">
        <f>SUM(J18:J29)</f>
        <v>6535368083</v>
      </c>
      <c r="K30" s="90"/>
    </row>
    <row r="31" spans="1:13" ht="21.75" customHeight="1" thickBot="1">
      <c r="A31" s="35" t="s">
        <v>17</v>
      </c>
      <c r="B31" s="37"/>
      <c r="D31" s="91">
        <f>D16+D30</f>
        <v>22683312544</v>
      </c>
      <c r="E31" s="48"/>
      <c r="F31" s="91">
        <f>F16+F30</f>
        <v>22487771092</v>
      </c>
      <c r="G31" s="48"/>
      <c r="H31" s="91">
        <f>H16+H30</f>
        <v>7181023296</v>
      </c>
      <c r="I31" s="48"/>
      <c r="J31" s="91">
        <f>J16+J30</f>
        <v>7077295766</v>
      </c>
    </row>
    <row r="32" spans="1:13" ht="21.75" customHeight="1" thickTop="1">
      <c r="D32" s="66"/>
      <c r="H32" s="66"/>
    </row>
    <row r="34" spans="1:13" ht="21.75" customHeight="1">
      <c r="A34" s="39" t="s">
        <v>18</v>
      </c>
    </row>
    <row r="35" spans="1:13" s="35" customFormat="1" ht="21.75" customHeight="1">
      <c r="A35" s="35" t="s">
        <v>0</v>
      </c>
      <c r="F35" s="36"/>
      <c r="J35" s="36"/>
    </row>
    <row r="36" spans="1:13" s="35" customFormat="1" ht="21.75" customHeight="1">
      <c r="A36" s="35" t="s">
        <v>97</v>
      </c>
      <c r="F36" s="36"/>
      <c r="J36" s="36"/>
    </row>
    <row r="37" spans="1:13" s="35" customFormat="1" ht="21.75" customHeight="1">
      <c r="A37" s="35" t="s">
        <v>230</v>
      </c>
      <c r="F37" s="36"/>
      <c r="J37" s="36"/>
    </row>
    <row r="38" spans="1:13" ht="21.75" customHeight="1">
      <c r="J38" s="40" t="s">
        <v>1</v>
      </c>
    </row>
    <row r="39" spans="1:13" s="41" customFormat="1" ht="21.75" customHeight="1">
      <c r="A39" s="45"/>
      <c r="D39" s="165" t="s">
        <v>2</v>
      </c>
      <c r="E39" s="165"/>
      <c r="F39" s="165"/>
      <c r="G39" s="37"/>
      <c r="H39" s="165" t="s">
        <v>3</v>
      </c>
      <c r="I39" s="165"/>
      <c r="J39" s="165"/>
      <c r="K39" s="165"/>
    </row>
    <row r="40" spans="1:13" s="37" customFormat="1" ht="21.75" customHeight="1">
      <c r="B40" s="109" t="s">
        <v>4</v>
      </c>
      <c r="D40" s="110" t="str">
        <f>D6</f>
        <v>2022</v>
      </c>
      <c r="F40" s="110" t="str">
        <f>F6</f>
        <v>2021</v>
      </c>
      <c r="H40" s="110" t="str">
        <f>H6</f>
        <v>2022</v>
      </c>
      <c r="J40" s="110" t="str">
        <f>J6</f>
        <v>2021</v>
      </c>
      <c r="K40" s="44"/>
    </row>
    <row r="41" spans="1:13" ht="21.75" customHeight="1">
      <c r="A41" s="35" t="s">
        <v>19</v>
      </c>
    </row>
    <row r="42" spans="1:13" ht="21.75" customHeight="1">
      <c r="A42" s="35" t="s">
        <v>20</v>
      </c>
    </row>
    <row r="43" spans="1:13" ht="21.75" customHeight="1">
      <c r="A43" s="39" t="s">
        <v>208</v>
      </c>
    </row>
    <row r="44" spans="1:13" ht="21.75" customHeight="1">
      <c r="A44" s="39" t="s">
        <v>141</v>
      </c>
      <c r="B44" s="46">
        <v>21</v>
      </c>
      <c r="D44" s="66">
        <v>1080000000</v>
      </c>
      <c r="E44" s="48"/>
      <c r="F44" s="66">
        <v>1181162030</v>
      </c>
      <c r="G44" s="48"/>
      <c r="H44" s="66">
        <v>650000000</v>
      </c>
      <c r="I44" s="48"/>
      <c r="J44" s="66">
        <v>650000000</v>
      </c>
      <c r="K44" s="38"/>
      <c r="L44" s="48"/>
      <c r="M44" s="48"/>
    </row>
    <row r="45" spans="1:13" ht="21.75" customHeight="1">
      <c r="A45" s="39" t="s">
        <v>68</v>
      </c>
      <c r="B45" s="46">
        <v>22</v>
      </c>
      <c r="D45" s="66">
        <v>1321269958</v>
      </c>
      <c r="E45" s="48"/>
      <c r="F45" s="66">
        <v>1131976898</v>
      </c>
      <c r="G45" s="48"/>
      <c r="H45" s="66">
        <v>120749729</v>
      </c>
      <c r="I45" s="48"/>
      <c r="J45" s="66">
        <v>200481203</v>
      </c>
      <c r="K45" s="38"/>
      <c r="L45" s="48"/>
      <c r="M45" s="48"/>
    </row>
    <row r="46" spans="1:13" ht="21.75" customHeight="1">
      <c r="A46" s="39" t="s">
        <v>21</v>
      </c>
      <c r="B46" s="46"/>
      <c r="D46" s="66"/>
      <c r="E46" s="48"/>
      <c r="F46" s="66"/>
      <c r="G46" s="48"/>
      <c r="H46" s="66"/>
      <c r="I46" s="48"/>
      <c r="J46" s="66"/>
      <c r="K46" s="38"/>
      <c r="L46" s="48"/>
      <c r="M46" s="48"/>
    </row>
    <row r="47" spans="1:13" ht="21.75" customHeight="1">
      <c r="A47" s="39" t="s">
        <v>22</v>
      </c>
      <c r="B47" s="46">
        <v>24</v>
      </c>
      <c r="D47" s="66">
        <v>296628539</v>
      </c>
      <c r="E47" s="48"/>
      <c r="F47" s="66">
        <v>540074719</v>
      </c>
      <c r="G47" s="48"/>
      <c r="H47" s="66">
        <v>1500000</v>
      </c>
      <c r="I47" s="48"/>
      <c r="J47" s="66">
        <v>0</v>
      </c>
      <c r="K47" s="38"/>
      <c r="L47" s="48"/>
      <c r="M47" s="48"/>
    </row>
    <row r="48" spans="1:13" ht="21.75" customHeight="1">
      <c r="A48" s="39" t="s">
        <v>126</v>
      </c>
      <c r="B48" s="46">
        <v>20</v>
      </c>
      <c r="D48" s="66">
        <f>52422428+6894859</f>
        <v>59317287</v>
      </c>
      <c r="E48" s="48"/>
      <c r="F48" s="66">
        <v>48032696</v>
      </c>
      <c r="G48" s="48"/>
      <c r="H48" s="66">
        <v>5390080</v>
      </c>
      <c r="I48" s="48"/>
      <c r="J48" s="66">
        <v>5996204</v>
      </c>
      <c r="K48" s="48"/>
      <c r="L48" s="48"/>
      <c r="M48" s="48"/>
    </row>
    <row r="49" spans="1:13" ht="21.75" customHeight="1">
      <c r="A49" s="39" t="s">
        <v>103</v>
      </c>
      <c r="B49" s="46"/>
      <c r="D49" s="66">
        <v>16471201</v>
      </c>
      <c r="E49" s="48"/>
      <c r="F49" s="66">
        <v>15724553</v>
      </c>
      <c r="G49" s="48"/>
      <c r="H49" s="48">
        <v>0</v>
      </c>
      <c r="I49" s="48"/>
      <c r="J49" s="48">
        <v>0</v>
      </c>
      <c r="K49" s="38"/>
      <c r="L49" s="48"/>
      <c r="M49" s="48"/>
    </row>
    <row r="50" spans="1:13" ht="21.75" customHeight="1">
      <c r="A50" s="39" t="s">
        <v>94</v>
      </c>
      <c r="B50" s="46"/>
      <c r="D50" s="66">
        <v>1648296851</v>
      </c>
      <c r="E50" s="48"/>
      <c r="F50" s="66">
        <v>1218898193</v>
      </c>
      <c r="G50" s="48"/>
      <c r="H50" s="85">
        <v>0</v>
      </c>
      <c r="I50" s="48"/>
      <c r="J50" s="85">
        <v>0</v>
      </c>
      <c r="K50" s="38"/>
      <c r="L50" s="48"/>
      <c r="M50" s="48"/>
    </row>
    <row r="51" spans="1:13" ht="21.75" customHeight="1">
      <c r="A51" s="39" t="s">
        <v>23</v>
      </c>
      <c r="B51" s="46">
        <v>23</v>
      </c>
      <c r="D51" s="66">
        <f>296419135</f>
        <v>296419135</v>
      </c>
      <c r="E51" s="48"/>
      <c r="F51" s="66">
        <v>223188079</v>
      </c>
      <c r="G51" s="48"/>
      <c r="H51" s="49">
        <f>22976047</f>
        <v>22976047</v>
      </c>
      <c r="I51" s="48"/>
      <c r="J51" s="49">
        <v>14587180</v>
      </c>
      <c r="K51" s="38"/>
      <c r="L51" s="48"/>
      <c r="M51" s="48"/>
    </row>
    <row r="52" spans="1:13" ht="21.75" customHeight="1">
      <c r="A52" s="35" t="s">
        <v>24</v>
      </c>
      <c r="B52" s="46"/>
      <c r="D52" s="61">
        <f>SUM(D44:D51)</f>
        <v>4718402971</v>
      </c>
      <c r="E52" s="48"/>
      <c r="F52" s="61">
        <f>SUM(F44:F51)</f>
        <v>4359057168</v>
      </c>
      <c r="G52" s="48"/>
      <c r="H52" s="61">
        <f>SUM(H44:H51)</f>
        <v>800615856</v>
      </c>
      <c r="I52" s="48"/>
      <c r="J52" s="61">
        <f>SUM(J44:J51)</f>
        <v>871064587</v>
      </c>
      <c r="K52" s="38"/>
    </row>
    <row r="53" spans="1:13" ht="21.75" customHeight="1">
      <c r="A53" s="35" t="s">
        <v>25</v>
      </c>
      <c r="B53" s="46"/>
      <c r="D53" s="48"/>
      <c r="E53" s="48"/>
      <c r="F53" s="48"/>
      <c r="G53" s="48"/>
      <c r="H53" s="48"/>
      <c r="I53" s="48"/>
      <c r="J53" s="48"/>
      <c r="K53" s="38"/>
    </row>
    <row r="54" spans="1:13" ht="21.75" customHeight="1">
      <c r="A54" s="39" t="s">
        <v>108</v>
      </c>
      <c r="B54" s="46">
        <v>9</v>
      </c>
      <c r="D54" s="92">
        <v>0</v>
      </c>
      <c r="E54" s="48"/>
      <c r="F54" s="92">
        <v>0</v>
      </c>
      <c r="G54" s="48"/>
      <c r="H54" s="92">
        <v>478500000</v>
      </c>
      <c r="I54" s="48"/>
      <c r="J54" s="92">
        <v>228500000</v>
      </c>
      <c r="K54" s="38"/>
      <c r="L54" s="48"/>
      <c r="M54" s="48"/>
    </row>
    <row r="55" spans="1:13" ht="21.75" customHeight="1">
      <c r="A55" s="39" t="s">
        <v>123</v>
      </c>
      <c r="B55" s="46">
        <v>9</v>
      </c>
      <c r="D55" s="66">
        <v>6000000</v>
      </c>
      <c r="E55" s="48"/>
      <c r="F55" s="66">
        <v>22950000</v>
      </c>
      <c r="G55" s="48"/>
      <c r="H55" s="66">
        <v>0</v>
      </c>
      <c r="I55" s="48"/>
      <c r="J55" s="66">
        <v>0</v>
      </c>
      <c r="K55" s="38"/>
      <c r="L55" s="48"/>
      <c r="M55" s="48"/>
    </row>
    <row r="56" spans="1:13" ht="21.75" customHeight="1">
      <c r="A56" s="39" t="s">
        <v>138</v>
      </c>
      <c r="B56" s="46"/>
      <c r="D56" s="93"/>
      <c r="E56" s="48"/>
      <c r="F56" s="93"/>
      <c r="G56" s="48"/>
      <c r="H56" s="93"/>
      <c r="I56" s="48"/>
      <c r="J56" s="93"/>
      <c r="K56" s="64"/>
      <c r="L56" s="48"/>
      <c r="M56" s="48"/>
    </row>
    <row r="57" spans="1:13" ht="21.75" customHeight="1">
      <c r="A57" s="39" t="s">
        <v>139</v>
      </c>
      <c r="B57" s="46">
        <v>24</v>
      </c>
      <c r="D57" s="66">
        <v>4521995500</v>
      </c>
      <c r="E57" s="48"/>
      <c r="F57" s="66">
        <v>4815629379</v>
      </c>
      <c r="G57" s="48"/>
      <c r="H57" s="66">
        <v>1373838131</v>
      </c>
      <c r="I57" s="48"/>
      <c r="J57" s="66">
        <v>1374899977</v>
      </c>
      <c r="K57" s="38"/>
      <c r="L57" s="48"/>
      <c r="M57" s="48"/>
    </row>
    <row r="58" spans="1:13" ht="21.75" customHeight="1">
      <c r="A58" s="39" t="s">
        <v>69</v>
      </c>
      <c r="B58" s="46">
        <v>25</v>
      </c>
      <c r="D58" s="66">
        <v>106714420</v>
      </c>
      <c r="E58" s="48"/>
      <c r="F58" s="66">
        <v>106801767</v>
      </c>
      <c r="G58" s="48"/>
      <c r="H58" s="66">
        <v>12436438</v>
      </c>
      <c r="I58" s="48"/>
      <c r="J58" s="66">
        <v>14340713</v>
      </c>
      <c r="K58" s="38"/>
      <c r="L58" s="48"/>
      <c r="M58" s="48"/>
    </row>
    <row r="59" spans="1:13" ht="21.75" customHeight="1">
      <c r="A59" s="39" t="s">
        <v>106</v>
      </c>
      <c r="B59" s="46">
        <v>33</v>
      </c>
      <c r="D59" s="66">
        <v>2862276097</v>
      </c>
      <c r="E59" s="48"/>
      <c r="F59" s="66">
        <v>2868319912</v>
      </c>
      <c r="G59" s="48"/>
      <c r="H59" s="66">
        <v>115549415</v>
      </c>
      <c r="I59" s="48"/>
      <c r="J59" s="66">
        <v>116273403</v>
      </c>
      <c r="K59" s="38"/>
      <c r="L59" s="48"/>
      <c r="M59" s="48"/>
    </row>
    <row r="60" spans="1:13" ht="21.75" customHeight="1">
      <c r="A60" s="39" t="s">
        <v>127</v>
      </c>
      <c r="B60" s="46">
        <v>20</v>
      </c>
      <c r="D60" s="66">
        <f>35162733+130196</f>
        <v>35292929</v>
      </c>
      <c r="E60" s="48"/>
      <c r="F60" s="66">
        <v>30171568</v>
      </c>
      <c r="G60" s="48"/>
      <c r="H60" s="66">
        <v>2265006</v>
      </c>
      <c r="I60" s="48"/>
      <c r="J60" s="66">
        <v>620413</v>
      </c>
      <c r="K60" s="38"/>
      <c r="L60" s="48"/>
      <c r="M60" s="48"/>
    </row>
    <row r="61" spans="1:13" ht="21.75" customHeight="1">
      <c r="A61" s="39" t="s">
        <v>26</v>
      </c>
      <c r="B61" s="46"/>
      <c r="D61" s="89">
        <v>584152875</v>
      </c>
      <c r="E61" s="48"/>
      <c r="F61" s="89">
        <v>463058022</v>
      </c>
      <c r="G61" s="48"/>
      <c r="H61" s="89">
        <v>113807835</v>
      </c>
      <c r="I61" s="48"/>
      <c r="J61" s="89">
        <v>91968407</v>
      </c>
      <c r="K61" s="38"/>
      <c r="L61" s="48"/>
      <c r="M61" s="48"/>
    </row>
    <row r="62" spans="1:13" ht="21.75" customHeight="1">
      <c r="A62" s="35" t="s">
        <v>27</v>
      </c>
      <c r="B62" s="46"/>
      <c r="D62" s="49">
        <f>SUM(D54:D61)</f>
        <v>8116431821</v>
      </c>
      <c r="E62" s="48"/>
      <c r="F62" s="49">
        <f>SUM(F54:F61)</f>
        <v>8306930648</v>
      </c>
      <c r="G62" s="48"/>
      <c r="H62" s="49">
        <f>SUM(H54:H61)</f>
        <v>2096396825</v>
      </c>
      <c r="I62" s="48"/>
      <c r="J62" s="49">
        <f>SUM(J54:J61)</f>
        <v>1826602913</v>
      </c>
      <c r="K62" s="38"/>
    </row>
    <row r="63" spans="1:13" ht="21.75" customHeight="1">
      <c r="A63" s="35" t="s">
        <v>28</v>
      </c>
      <c r="B63" s="46"/>
      <c r="D63" s="49">
        <f>D52+D62</f>
        <v>12834834792</v>
      </c>
      <c r="E63" s="48"/>
      <c r="F63" s="49">
        <f>F52+F62</f>
        <v>12665987816</v>
      </c>
      <c r="G63" s="48"/>
      <c r="H63" s="49">
        <f>H52+H62</f>
        <v>2897012681</v>
      </c>
      <c r="I63" s="48"/>
      <c r="J63" s="49">
        <f>J52+J62</f>
        <v>2697667500</v>
      </c>
      <c r="K63" s="38"/>
    </row>
    <row r="66" spans="1:13" ht="21.75" customHeight="1">
      <c r="A66" s="39" t="s">
        <v>18</v>
      </c>
    </row>
    <row r="67" spans="1:13" s="35" customFormat="1" ht="21.75" customHeight="1">
      <c r="A67" s="35" t="s">
        <v>0</v>
      </c>
      <c r="F67" s="36"/>
      <c r="J67" s="36"/>
    </row>
    <row r="68" spans="1:13" s="35" customFormat="1" ht="21.75" customHeight="1">
      <c r="A68" s="35" t="s">
        <v>97</v>
      </c>
      <c r="F68" s="36"/>
      <c r="J68" s="36"/>
    </row>
    <row r="69" spans="1:13" s="35" customFormat="1" ht="21.75" customHeight="1">
      <c r="A69" s="35" t="s">
        <v>230</v>
      </c>
      <c r="F69" s="36"/>
      <c r="J69" s="36"/>
    </row>
    <row r="70" spans="1:13" ht="21.75" customHeight="1">
      <c r="J70" s="40" t="s">
        <v>1</v>
      </c>
    </row>
    <row r="71" spans="1:13" s="41" customFormat="1" ht="21.75" customHeight="1">
      <c r="A71" s="45"/>
      <c r="D71" s="165" t="s">
        <v>2</v>
      </c>
      <c r="E71" s="165"/>
      <c r="F71" s="165"/>
      <c r="G71" s="37"/>
      <c r="H71" s="165" t="s">
        <v>3</v>
      </c>
      <c r="I71" s="165"/>
      <c r="J71" s="165"/>
      <c r="K71" s="165"/>
    </row>
    <row r="72" spans="1:13" s="37" customFormat="1" ht="21.75" customHeight="1">
      <c r="B72" s="109" t="s">
        <v>4</v>
      </c>
      <c r="D72" s="110" t="s">
        <v>231</v>
      </c>
      <c r="F72" s="111" t="s">
        <v>145</v>
      </c>
      <c r="H72" s="110" t="s">
        <v>231</v>
      </c>
      <c r="J72" s="111" t="s">
        <v>145</v>
      </c>
      <c r="K72" s="44"/>
    </row>
    <row r="73" spans="1:13" ht="21.75" customHeight="1">
      <c r="A73" s="35" t="s">
        <v>29</v>
      </c>
      <c r="B73" s="46"/>
      <c r="D73" s="48"/>
      <c r="E73" s="48"/>
      <c r="F73" s="48"/>
      <c r="G73" s="48"/>
      <c r="H73" s="48"/>
      <c r="I73" s="48"/>
      <c r="J73" s="48"/>
      <c r="K73" s="38"/>
    </row>
    <row r="74" spans="1:13" ht="21.75" customHeight="1">
      <c r="A74" s="39" t="s">
        <v>30</v>
      </c>
      <c r="B74" s="46"/>
      <c r="D74" s="48"/>
      <c r="E74" s="48"/>
      <c r="F74" s="48"/>
      <c r="G74" s="48"/>
      <c r="H74" s="48"/>
      <c r="I74" s="48"/>
      <c r="J74" s="48"/>
      <c r="K74" s="38"/>
    </row>
    <row r="75" spans="1:13" ht="21.75" customHeight="1">
      <c r="A75" s="39" t="s">
        <v>31</v>
      </c>
      <c r="B75" s="46"/>
      <c r="D75" s="48"/>
      <c r="E75" s="48"/>
      <c r="F75" s="48"/>
      <c r="G75" s="48"/>
      <c r="H75" s="48"/>
      <c r="I75" s="48"/>
      <c r="J75" s="48"/>
      <c r="K75" s="38"/>
    </row>
    <row r="76" spans="1:13" ht="21.75" customHeight="1" thickBot="1">
      <c r="A76" s="39" t="s">
        <v>32</v>
      </c>
      <c r="B76" s="46"/>
      <c r="D76" s="91">
        <v>2116753580</v>
      </c>
      <c r="E76" s="48"/>
      <c r="F76" s="91">
        <v>2116753580</v>
      </c>
      <c r="G76" s="48"/>
      <c r="H76" s="91">
        <v>2116753580</v>
      </c>
      <c r="I76" s="48"/>
      <c r="J76" s="91">
        <v>2116753580</v>
      </c>
      <c r="K76" s="38"/>
      <c r="L76" s="48"/>
      <c r="M76" s="48"/>
    </row>
    <row r="77" spans="1:13" ht="21.75" customHeight="1" thickTop="1">
      <c r="A77" s="39" t="s">
        <v>33</v>
      </c>
      <c r="B77" s="46"/>
      <c r="D77" s="66"/>
      <c r="E77" s="48"/>
      <c r="F77" s="66"/>
      <c r="G77" s="48"/>
      <c r="H77" s="66"/>
      <c r="I77" s="48"/>
      <c r="J77" s="66"/>
      <c r="L77" s="48"/>
      <c r="M77" s="48"/>
    </row>
    <row r="78" spans="1:13" ht="21.75" customHeight="1">
      <c r="A78" s="39" t="s">
        <v>34</v>
      </c>
      <c r="B78" s="46"/>
      <c r="D78" s="66">
        <v>1666827010</v>
      </c>
      <c r="E78" s="48"/>
      <c r="F78" s="66">
        <v>1666827010</v>
      </c>
      <c r="G78" s="48"/>
      <c r="H78" s="66">
        <v>1666827010</v>
      </c>
      <c r="I78" s="48"/>
      <c r="J78" s="66">
        <v>1666827010</v>
      </c>
      <c r="K78" s="38"/>
      <c r="L78" s="48"/>
      <c r="M78" s="48"/>
    </row>
    <row r="79" spans="1:13" ht="21.75" customHeight="1">
      <c r="A79" s="39" t="s">
        <v>35</v>
      </c>
      <c r="B79" s="46"/>
      <c r="D79" s="66">
        <v>2062460582</v>
      </c>
      <c r="E79" s="48"/>
      <c r="F79" s="66">
        <v>2062460582</v>
      </c>
      <c r="G79" s="48"/>
      <c r="H79" s="66">
        <v>2062460582</v>
      </c>
      <c r="I79" s="48"/>
      <c r="J79" s="66">
        <v>2062460582</v>
      </c>
      <c r="K79" s="38"/>
      <c r="L79" s="48"/>
      <c r="M79" s="48"/>
    </row>
    <row r="80" spans="1:13" ht="21.75" customHeight="1">
      <c r="A80" s="39" t="s">
        <v>240</v>
      </c>
      <c r="B80" s="46"/>
      <c r="D80" s="66"/>
      <c r="E80" s="48"/>
      <c r="F80" s="66"/>
      <c r="G80" s="48"/>
      <c r="H80" s="66"/>
      <c r="I80" s="48"/>
      <c r="J80" s="66"/>
      <c r="K80" s="38"/>
      <c r="L80" s="48"/>
      <c r="M80" s="48"/>
    </row>
    <row r="81" spans="1:13" ht="21.75" customHeight="1">
      <c r="A81" s="39" t="s">
        <v>242</v>
      </c>
      <c r="B81" s="46"/>
      <c r="D81" s="66">
        <v>-7372391</v>
      </c>
      <c r="E81" s="48"/>
      <c r="F81" s="66">
        <v>0</v>
      </c>
      <c r="G81" s="48"/>
      <c r="H81" s="66">
        <v>0</v>
      </c>
      <c r="I81" s="48"/>
      <c r="J81" s="66">
        <v>0</v>
      </c>
      <c r="K81" s="38"/>
      <c r="L81" s="48"/>
      <c r="M81" s="48"/>
    </row>
    <row r="82" spans="1:13" ht="21.75" customHeight="1">
      <c r="A82" s="39" t="s">
        <v>36</v>
      </c>
      <c r="B82" s="46">
        <v>26</v>
      </c>
      <c r="D82" s="66">
        <v>568130588</v>
      </c>
      <c r="E82" s="48"/>
      <c r="F82" s="66">
        <v>568130588</v>
      </c>
      <c r="G82" s="48"/>
      <c r="H82" s="66">
        <v>0</v>
      </c>
      <c r="I82" s="48"/>
      <c r="J82" s="66">
        <v>0</v>
      </c>
      <c r="K82" s="38"/>
      <c r="L82" s="48"/>
      <c r="M82" s="48"/>
    </row>
    <row r="83" spans="1:13" ht="21.75" customHeight="1">
      <c r="A83" s="39" t="s">
        <v>37</v>
      </c>
      <c r="B83" s="46"/>
      <c r="D83" s="66"/>
      <c r="E83" s="48"/>
      <c r="F83" s="66"/>
      <c r="G83" s="48"/>
      <c r="H83" s="66"/>
      <c r="I83" s="48"/>
      <c r="J83" s="66"/>
      <c r="K83" s="38"/>
      <c r="L83" s="48"/>
      <c r="M83" s="48"/>
    </row>
    <row r="84" spans="1:13" ht="21.75" customHeight="1">
      <c r="A84" s="39" t="s">
        <v>38</v>
      </c>
      <c r="B84" s="46">
        <v>28</v>
      </c>
      <c r="C84" s="51"/>
      <c r="D84" s="66">
        <v>211675358</v>
      </c>
      <c r="E84" s="50"/>
      <c r="F84" s="66">
        <v>211675358</v>
      </c>
      <c r="G84" s="50"/>
      <c r="H84" s="66">
        <v>211675358</v>
      </c>
      <c r="I84" s="50"/>
      <c r="J84" s="66">
        <v>211675358</v>
      </c>
      <c r="K84" s="59"/>
      <c r="L84" s="48"/>
      <c r="M84" s="48"/>
    </row>
    <row r="85" spans="1:13" ht="21.75" customHeight="1">
      <c r="A85" s="39" t="s">
        <v>39</v>
      </c>
      <c r="B85" s="46"/>
      <c r="C85" s="51"/>
      <c r="D85" s="66">
        <f>-483731632-5849574-4321797</f>
        <v>-493903003</v>
      </c>
      <c r="E85" s="50"/>
      <c r="F85" s="66">
        <v>-556050684</v>
      </c>
      <c r="G85" s="50"/>
      <c r="H85" s="66">
        <v>201734273</v>
      </c>
      <c r="I85" s="50"/>
      <c r="J85" s="66">
        <f>297351925-1</f>
        <v>297351924</v>
      </c>
      <c r="K85" s="59"/>
      <c r="L85" s="48"/>
      <c r="M85" s="48"/>
    </row>
    <row r="86" spans="1:13" ht="21.75" customHeight="1">
      <c r="A86" s="39" t="s">
        <v>73</v>
      </c>
      <c r="B86" s="46"/>
      <c r="C86" s="51"/>
      <c r="D86" s="89">
        <f>5709925940+5849574+1</f>
        <v>5715775515</v>
      </c>
      <c r="E86" s="50"/>
      <c r="F86" s="89">
        <v>5750603029</v>
      </c>
      <c r="G86" s="50"/>
      <c r="H86" s="89">
        <v>141313392</v>
      </c>
      <c r="I86" s="50"/>
      <c r="J86" s="89">
        <v>141313392</v>
      </c>
      <c r="K86" s="59"/>
      <c r="L86" s="48"/>
      <c r="M86" s="48"/>
    </row>
    <row r="87" spans="1:13" ht="21.75" customHeight="1">
      <c r="A87" s="39" t="s">
        <v>91</v>
      </c>
      <c r="B87" s="46"/>
      <c r="D87" s="66">
        <f>SUM(D78:D86)</f>
        <v>9723593659</v>
      </c>
      <c r="E87" s="48"/>
      <c r="F87" s="66">
        <f>SUM(F78:F86)</f>
        <v>9703645883</v>
      </c>
      <c r="G87" s="48"/>
      <c r="H87" s="66">
        <f>SUM(H78:H86)</f>
        <v>4284010615</v>
      </c>
      <c r="I87" s="48"/>
      <c r="J87" s="66">
        <f>SUM(J78:J86)</f>
        <v>4379628266</v>
      </c>
      <c r="K87" s="38"/>
      <c r="L87" s="48"/>
      <c r="M87" s="48"/>
    </row>
    <row r="88" spans="1:13" ht="21.75" customHeight="1">
      <c r="A88" s="39" t="s">
        <v>101</v>
      </c>
      <c r="B88" s="46"/>
      <c r="D88" s="66"/>
      <c r="E88" s="48"/>
      <c r="F88" s="66"/>
      <c r="G88" s="48"/>
      <c r="H88" s="66"/>
      <c r="I88" s="48"/>
      <c r="J88" s="66"/>
      <c r="K88" s="38"/>
      <c r="L88" s="48"/>
      <c r="M88" s="48"/>
    </row>
    <row r="89" spans="1:13" ht="21.75" customHeight="1">
      <c r="A89" s="39" t="s">
        <v>102</v>
      </c>
      <c r="B89" s="46"/>
      <c r="D89" s="89">
        <f>124884093</f>
        <v>124884093</v>
      </c>
      <c r="E89" s="48"/>
      <c r="F89" s="89">
        <v>118137393</v>
      </c>
      <c r="G89" s="48"/>
      <c r="H89" s="89">
        <v>0</v>
      </c>
      <c r="I89" s="48"/>
      <c r="J89" s="89">
        <v>0</v>
      </c>
      <c r="K89" s="87"/>
      <c r="L89" s="48"/>
      <c r="M89" s="48"/>
    </row>
    <row r="90" spans="1:13" ht="21.75" customHeight="1">
      <c r="A90" s="35" t="s">
        <v>40</v>
      </c>
      <c r="B90" s="46"/>
      <c r="D90" s="49">
        <f t="shared" ref="D90:E90" si="0">SUM(D87:D89)</f>
        <v>9848477752</v>
      </c>
      <c r="E90" s="49">
        <f t="shared" si="0"/>
        <v>0</v>
      </c>
      <c r="F90" s="49">
        <f>SUM(F87:F89)</f>
        <v>9821783276</v>
      </c>
      <c r="G90" s="48"/>
      <c r="H90" s="49">
        <f>SUM(H87:H89)</f>
        <v>4284010615</v>
      </c>
      <c r="I90" s="48"/>
      <c r="J90" s="49">
        <f>SUM(J87:J89)</f>
        <v>4379628266</v>
      </c>
      <c r="K90" s="38"/>
      <c r="L90" s="48"/>
      <c r="M90" s="48"/>
    </row>
    <row r="91" spans="1:13" ht="21.75" customHeight="1" thickBot="1">
      <c r="A91" s="35" t="s">
        <v>41</v>
      </c>
      <c r="B91" s="46"/>
      <c r="D91" s="56">
        <f>D90+D63</f>
        <v>22683312544</v>
      </c>
      <c r="E91" s="48"/>
      <c r="F91" s="56">
        <f>F90+F63</f>
        <v>22487771092</v>
      </c>
      <c r="G91" s="48"/>
      <c r="H91" s="56">
        <f>H90+H63</f>
        <v>7181023296</v>
      </c>
      <c r="I91" s="48"/>
      <c r="J91" s="56">
        <f>J90+J63</f>
        <v>7077295766</v>
      </c>
      <c r="K91" s="38"/>
      <c r="L91" s="48"/>
      <c r="M91" s="48"/>
    </row>
    <row r="92" spans="1:13" ht="21.75" customHeight="1" thickTop="1">
      <c r="B92" s="60"/>
      <c r="C92" s="73"/>
      <c r="D92" s="66">
        <f>D91-D31</f>
        <v>0</v>
      </c>
      <c r="E92" s="66"/>
      <c r="F92" s="66">
        <f>F91-F31</f>
        <v>0</v>
      </c>
      <c r="G92" s="66"/>
      <c r="H92" s="66">
        <f>H91-H31</f>
        <v>0</v>
      </c>
      <c r="I92" s="66"/>
      <c r="J92" s="66">
        <f>J91-J31</f>
        <v>0</v>
      </c>
      <c r="K92" s="73"/>
      <c r="L92" s="48"/>
      <c r="M92" s="48"/>
    </row>
    <row r="93" spans="1:13" ht="21.75" customHeight="1">
      <c r="B93" s="60"/>
      <c r="C93" s="73"/>
      <c r="D93" s="66"/>
      <c r="E93" s="66"/>
      <c r="F93" s="66"/>
      <c r="G93" s="66"/>
      <c r="H93" s="66"/>
      <c r="I93" s="66"/>
      <c r="J93" s="66"/>
      <c r="K93" s="73"/>
    </row>
    <row r="94" spans="1:13" ht="21.75" customHeight="1">
      <c r="B94" s="60"/>
      <c r="C94" s="73"/>
      <c r="D94" s="66"/>
      <c r="E94" s="66"/>
      <c r="F94" s="66"/>
      <c r="G94" s="66"/>
      <c r="H94" s="66"/>
      <c r="I94" s="66"/>
      <c r="J94" s="66"/>
      <c r="K94" s="73"/>
    </row>
    <row r="95" spans="1:13" ht="21.75" customHeight="1">
      <c r="A95" s="39" t="s">
        <v>18</v>
      </c>
    </row>
    <row r="96" spans="1:13" ht="21.75" customHeight="1">
      <c r="A96" s="94"/>
      <c r="D96" s="67"/>
      <c r="F96" s="67"/>
      <c r="H96" s="67"/>
      <c r="J96" s="67"/>
    </row>
    <row r="97" spans="1:10" ht="21.75" customHeight="1">
      <c r="A97" s="95"/>
      <c r="D97" s="67"/>
      <c r="F97" s="67"/>
      <c r="H97" s="67"/>
      <c r="J97" s="39"/>
    </row>
    <row r="98" spans="1:10" ht="21.75" customHeight="1">
      <c r="A98" s="51"/>
      <c r="D98" s="67"/>
      <c r="F98" s="67"/>
      <c r="H98" s="67"/>
      <c r="J98" s="39"/>
    </row>
    <row r="99" spans="1:10" ht="21.75" customHeight="1">
      <c r="B99" s="39" t="s">
        <v>104</v>
      </c>
      <c r="D99" s="67"/>
      <c r="F99" s="67"/>
      <c r="H99" s="67"/>
      <c r="J99" s="39"/>
    </row>
    <row r="100" spans="1:10" ht="21.75" customHeight="1">
      <c r="A100" s="95"/>
      <c r="F100" s="39"/>
      <c r="J100" s="39"/>
    </row>
  </sheetData>
  <mergeCells count="6">
    <mergeCell ref="H5:K5"/>
    <mergeCell ref="H39:K39"/>
    <mergeCell ref="D5:F5"/>
    <mergeCell ref="D39:F39"/>
    <mergeCell ref="D71:F71"/>
    <mergeCell ref="H71:K71"/>
  </mergeCells>
  <phoneticPr fontId="4" type="noConversion"/>
  <pageMargins left="0.78740157480314965" right="0.39370078740157483" top="0.78740157480314965" bottom="0.39370078740157483" header="0.19685039370078741" footer="0.19685039370078741"/>
  <pageSetup paperSize="9" scale="76" fitToHeight="2" orientation="portrait" r:id="rId1"/>
  <rowBreaks count="2" manualBreakCount="2">
    <brk id="34" max="9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80"/>
  <sheetViews>
    <sheetView showGridLines="0" tabSelected="1" view="pageBreakPreview" topLeftCell="A34" zoomScale="85" zoomScaleNormal="100" zoomScaleSheetLayoutView="85" workbookViewId="0">
      <selection activeCell="F58" sqref="F58"/>
    </sheetView>
  </sheetViews>
  <sheetFormatPr defaultColWidth="9.28515625" defaultRowHeight="21.75" customHeight="1"/>
  <cols>
    <col min="1" max="1" width="50.42578125" style="39" customWidth="1"/>
    <col min="2" max="2" width="4.7109375" style="39" customWidth="1"/>
    <col min="3" max="3" width="1.7109375" style="39" customWidth="1"/>
    <col min="4" max="4" width="15.7109375" style="38" customWidth="1"/>
    <col min="5" max="5" width="1.7109375" style="39" customWidth="1"/>
    <col min="6" max="6" width="15.7109375" style="38" customWidth="1"/>
    <col min="7" max="7" width="1.7109375" style="39" customWidth="1"/>
    <col min="8" max="8" width="15.7109375" style="38" customWidth="1"/>
    <col min="9" max="9" width="1.7109375" style="39" customWidth="1"/>
    <col min="10" max="10" width="15.7109375" style="38" customWidth="1"/>
    <col min="11" max="11" width="16.28515625" style="39" bestFit="1" customWidth="1"/>
    <col min="12" max="12" width="16.5703125" style="58" bestFit="1" customWidth="1"/>
    <col min="13" max="13" width="17.28515625" style="58" bestFit="1" customWidth="1"/>
    <col min="14" max="14" width="14.42578125" style="58" customWidth="1"/>
    <col min="15" max="15" width="15" style="58" bestFit="1" customWidth="1"/>
    <col min="16" max="16" width="13.5703125" style="58" bestFit="1" customWidth="1"/>
    <col min="17" max="17" width="9.28515625" style="58"/>
    <col min="18" max="16384" width="9.28515625" style="39"/>
  </cols>
  <sheetData>
    <row r="1" spans="1:17" s="35" customFormat="1" ht="21.75" customHeight="1">
      <c r="A1" s="35" t="s">
        <v>0</v>
      </c>
      <c r="D1" s="36"/>
      <c r="F1" s="36"/>
      <c r="H1" s="36"/>
      <c r="J1" s="36"/>
      <c r="L1" s="113"/>
      <c r="M1" s="113"/>
      <c r="N1" s="113"/>
      <c r="O1" s="113"/>
      <c r="P1" s="113"/>
      <c r="Q1" s="113"/>
    </row>
    <row r="2" spans="1:17" s="35" customFormat="1" ht="21.75" customHeight="1">
      <c r="A2" s="35" t="s">
        <v>92</v>
      </c>
      <c r="D2" s="36"/>
      <c r="F2" s="36"/>
      <c r="H2" s="36"/>
      <c r="J2" s="36"/>
      <c r="L2" s="113"/>
      <c r="M2" s="113"/>
      <c r="N2" s="113"/>
      <c r="O2" s="113"/>
      <c r="P2" s="113"/>
      <c r="Q2" s="113"/>
    </row>
    <row r="3" spans="1:17" s="35" customFormat="1" ht="21.75" customHeight="1">
      <c r="A3" s="35" t="s">
        <v>234</v>
      </c>
      <c r="D3" s="36"/>
      <c r="F3" s="36"/>
      <c r="H3" s="36"/>
      <c r="J3" s="36"/>
      <c r="L3" s="113"/>
      <c r="M3" s="113"/>
      <c r="N3" s="113"/>
      <c r="O3" s="113"/>
      <c r="P3" s="113"/>
      <c r="Q3" s="113"/>
    </row>
    <row r="4" spans="1:17" s="37" customFormat="1" ht="21.75" customHeight="1">
      <c r="D4" s="38"/>
      <c r="E4" s="39"/>
      <c r="F4" s="38"/>
      <c r="G4" s="39"/>
      <c r="H4" s="40"/>
      <c r="I4" s="39"/>
      <c r="J4" s="40" t="s">
        <v>1</v>
      </c>
      <c r="L4" s="114"/>
      <c r="M4" s="114"/>
      <c r="N4" s="114"/>
      <c r="O4" s="114"/>
      <c r="P4" s="114"/>
      <c r="Q4" s="114"/>
    </row>
    <row r="5" spans="1:17" s="41" customFormat="1" ht="21.75" customHeight="1">
      <c r="D5" s="42"/>
      <c r="E5" s="152" t="s">
        <v>2</v>
      </c>
      <c r="F5" s="42"/>
      <c r="H5" s="42"/>
      <c r="I5" s="152" t="s">
        <v>3</v>
      </c>
      <c r="J5" s="42"/>
      <c r="L5" s="115"/>
      <c r="M5" s="115"/>
      <c r="N5" s="115"/>
      <c r="O5" s="115"/>
      <c r="P5" s="115"/>
      <c r="Q5" s="115"/>
    </row>
    <row r="6" spans="1:17" s="37" customFormat="1" ht="21.75" customHeight="1">
      <c r="B6" s="109" t="s">
        <v>4</v>
      </c>
      <c r="D6" s="112">
        <v>2022</v>
      </c>
      <c r="E6" s="44"/>
      <c r="F6" s="112">
        <v>2021</v>
      </c>
      <c r="G6" s="44"/>
      <c r="H6" s="112">
        <v>2022</v>
      </c>
      <c r="I6" s="44"/>
      <c r="J6" s="112">
        <v>2021</v>
      </c>
      <c r="L6" s="114"/>
      <c r="M6" s="114"/>
      <c r="N6" s="114"/>
      <c r="O6" s="114"/>
      <c r="P6" s="114"/>
      <c r="Q6" s="114"/>
    </row>
    <row r="7" spans="1:17" ht="21.75" customHeight="1">
      <c r="A7" s="35" t="s">
        <v>134</v>
      </c>
      <c r="B7" s="46">
        <v>29</v>
      </c>
    </row>
    <row r="8" spans="1:17" ht="21.75" customHeight="1">
      <c r="A8" s="47" t="s">
        <v>121</v>
      </c>
      <c r="D8" s="73">
        <v>2397982387</v>
      </c>
      <c r="E8" s="48">
        <v>0</v>
      </c>
      <c r="F8" s="73">
        <v>688006154</v>
      </c>
      <c r="G8" s="48">
        <v>0</v>
      </c>
      <c r="H8" s="73">
        <v>30167291</v>
      </c>
      <c r="I8" s="48">
        <v>0</v>
      </c>
      <c r="J8" s="48">
        <v>0</v>
      </c>
    </row>
    <row r="9" spans="1:17" ht="21.75" customHeight="1">
      <c r="A9" s="47" t="s">
        <v>122</v>
      </c>
      <c r="B9" s="46"/>
      <c r="D9" s="73">
        <v>2314067434</v>
      </c>
      <c r="E9" s="48">
        <v>0</v>
      </c>
      <c r="F9" s="73">
        <v>741762370</v>
      </c>
      <c r="G9" s="48">
        <v>0</v>
      </c>
      <c r="H9" s="48">
        <v>0</v>
      </c>
      <c r="I9" s="48">
        <v>0</v>
      </c>
      <c r="J9" s="48">
        <v>0</v>
      </c>
    </row>
    <row r="10" spans="1:17" ht="21.75" customHeight="1">
      <c r="A10" s="47" t="s">
        <v>120</v>
      </c>
      <c r="B10" s="46"/>
      <c r="D10" s="73">
        <v>35801267</v>
      </c>
      <c r="E10" s="48">
        <v>0</v>
      </c>
      <c r="F10" s="73">
        <v>27201935</v>
      </c>
      <c r="G10" s="48">
        <v>0</v>
      </c>
      <c r="H10" s="73">
        <v>11501384</v>
      </c>
      <c r="I10" s="48">
        <v>0</v>
      </c>
      <c r="J10" s="48">
        <v>4040997</v>
      </c>
    </row>
    <row r="11" spans="1:17" ht="21.75" customHeight="1">
      <c r="A11" s="39" t="s">
        <v>42</v>
      </c>
      <c r="B11" s="46">
        <v>30</v>
      </c>
      <c r="D11" s="74">
        <v>48818357</v>
      </c>
      <c r="E11" s="50">
        <v>0</v>
      </c>
      <c r="F11" s="74">
        <v>31930043</v>
      </c>
      <c r="G11" s="50">
        <v>0</v>
      </c>
      <c r="H11" s="74">
        <v>113883959</v>
      </c>
      <c r="I11" s="50">
        <v>0</v>
      </c>
      <c r="J11" s="49">
        <v>76509986</v>
      </c>
    </row>
    <row r="12" spans="1:17" ht="21.75" customHeight="1">
      <c r="A12" s="35" t="s">
        <v>135</v>
      </c>
      <c r="B12" s="46"/>
      <c r="D12" s="74">
        <f>SUM(D8:D11)</f>
        <v>4796669445</v>
      </c>
      <c r="E12" s="48"/>
      <c r="F12" s="74">
        <f>SUM(F8:F11)</f>
        <v>1488900502</v>
      </c>
      <c r="G12" s="48"/>
      <c r="H12" s="74">
        <f>SUM(H8:H11)</f>
        <v>155552634</v>
      </c>
      <c r="I12" s="48"/>
      <c r="J12" s="74">
        <f>SUM(J8:J11)</f>
        <v>80550983</v>
      </c>
    </row>
    <row r="13" spans="1:17" ht="21.75" customHeight="1">
      <c r="A13" s="35" t="s">
        <v>43</v>
      </c>
      <c r="B13" s="46"/>
      <c r="D13" s="73"/>
      <c r="E13" s="48"/>
      <c r="F13" s="73"/>
      <c r="G13" s="48"/>
      <c r="H13" s="48"/>
      <c r="I13" s="48"/>
      <c r="J13" s="48"/>
    </row>
    <row r="14" spans="1:17" ht="21.75" customHeight="1">
      <c r="A14" s="39" t="s">
        <v>44</v>
      </c>
      <c r="B14" s="46"/>
      <c r="D14" s="73">
        <f>1585130537+5195695-8526957</f>
        <v>1581799275</v>
      </c>
      <c r="E14" s="48">
        <v>0</v>
      </c>
      <c r="F14" s="73">
        <v>864704677</v>
      </c>
      <c r="G14" s="48">
        <v>0</v>
      </c>
      <c r="H14" s="73">
        <v>16652489</v>
      </c>
      <c r="I14" s="48">
        <v>0</v>
      </c>
      <c r="J14" s="48">
        <v>0</v>
      </c>
    </row>
    <row r="15" spans="1:17" ht="21.75" customHeight="1">
      <c r="A15" s="39" t="s">
        <v>45</v>
      </c>
      <c r="B15" s="46"/>
      <c r="D15" s="73">
        <f>1316036606+6290303</f>
        <v>1322326909</v>
      </c>
      <c r="E15" s="48">
        <v>0</v>
      </c>
      <c r="F15" s="73">
        <v>403447404</v>
      </c>
      <c r="G15" s="48">
        <v>0</v>
      </c>
      <c r="H15" s="48">
        <v>0</v>
      </c>
      <c r="I15" s="48">
        <v>0</v>
      </c>
      <c r="J15" s="48">
        <v>0</v>
      </c>
    </row>
    <row r="16" spans="1:17" ht="21.75" customHeight="1">
      <c r="A16" s="39" t="s">
        <v>46</v>
      </c>
      <c r="B16" s="46"/>
      <c r="D16" s="73">
        <v>25544012</v>
      </c>
      <c r="E16" s="48">
        <v>0</v>
      </c>
      <c r="F16" s="73">
        <v>19786476</v>
      </c>
      <c r="G16" s="48">
        <v>0</v>
      </c>
      <c r="H16" s="73">
        <v>4748173</v>
      </c>
      <c r="I16" s="48">
        <v>0</v>
      </c>
      <c r="J16" s="48">
        <v>4376781</v>
      </c>
    </row>
    <row r="17" spans="1:17" ht="21.75" customHeight="1">
      <c r="A17" s="39" t="s">
        <v>47</v>
      </c>
      <c r="B17" s="46"/>
      <c r="D17" s="73">
        <v>479555173</v>
      </c>
      <c r="E17" s="48">
        <v>0</v>
      </c>
      <c r="F17" s="73">
        <v>140417665</v>
      </c>
      <c r="G17" s="48">
        <v>0</v>
      </c>
      <c r="H17" s="73">
        <v>194475</v>
      </c>
      <c r="I17" s="48">
        <v>0</v>
      </c>
      <c r="J17" s="48">
        <v>207402</v>
      </c>
    </row>
    <row r="18" spans="1:17" ht="21.75" customHeight="1">
      <c r="A18" s="39" t="s">
        <v>48</v>
      </c>
      <c r="B18" s="46"/>
      <c r="D18" s="73">
        <v>1263241169</v>
      </c>
      <c r="E18" s="50">
        <v>0</v>
      </c>
      <c r="F18" s="73">
        <v>863444259</v>
      </c>
      <c r="G18" s="50">
        <v>0</v>
      </c>
      <c r="H18" s="73">
        <v>199242031</v>
      </c>
      <c r="I18" s="50">
        <v>0</v>
      </c>
      <c r="J18" s="48">
        <f>126129428+1</f>
        <v>126129429</v>
      </c>
    </row>
    <row r="19" spans="1:17" ht="21.75" customHeight="1">
      <c r="A19" s="35" t="s">
        <v>49</v>
      </c>
      <c r="B19" s="46"/>
      <c r="D19" s="75">
        <f>SUM(D14:D18)</f>
        <v>4672466538</v>
      </c>
      <c r="E19" s="48"/>
      <c r="F19" s="75">
        <f>SUM(F14:F18)</f>
        <v>2291800481</v>
      </c>
      <c r="G19" s="48"/>
      <c r="H19" s="75">
        <f>SUM(H14:H18)</f>
        <v>220837168</v>
      </c>
      <c r="I19" s="48"/>
      <c r="J19" s="75">
        <f>SUM(J14:J18)</f>
        <v>130713612</v>
      </c>
    </row>
    <row r="20" spans="1:17" ht="21.75" customHeight="1">
      <c r="A20" s="35" t="s">
        <v>243</v>
      </c>
      <c r="B20" s="46"/>
      <c r="D20" s="73">
        <f>D12-D19</f>
        <v>124202907</v>
      </c>
      <c r="E20" s="48"/>
      <c r="F20" s="73">
        <f>F12-F19</f>
        <v>-802899979</v>
      </c>
      <c r="G20" s="48"/>
      <c r="H20" s="73">
        <f>H12-H19</f>
        <v>-65284534</v>
      </c>
      <c r="I20" s="48"/>
      <c r="J20" s="73">
        <f>J12-J19</f>
        <v>-50162629</v>
      </c>
    </row>
    <row r="21" spans="1:17" s="51" customFormat="1" ht="21.75" customHeight="1">
      <c r="A21" s="51" t="s">
        <v>119</v>
      </c>
      <c r="B21" s="46">
        <v>17</v>
      </c>
      <c r="D21" s="52">
        <v>28529666</v>
      </c>
      <c r="E21" s="50">
        <v>0</v>
      </c>
      <c r="F21" s="52">
        <v>31668870</v>
      </c>
      <c r="G21" s="50">
        <v>0</v>
      </c>
      <c r="H21" s="52">
        <v>0</v>
      </c>
      <c r="I21" s="50">
        <v>0</v>
      </c>
      <c r="J21" s="55">
        <v>0</v>
      </c>
      <c r="L21" s="58"/>
      <c r="M21" s="58"/>
      <c r="N21" s="58"/>
      <c r="O21" s="58"/>
      <c r="P21" s="58"/>
      <c r="Q21" s="116"/>
    </row>
    <row r="22" spans="1:17" s="51" customFormat="1" ht="21.75" customHeight="1">
      <c r="A22" s="39" t="s">
        <v>133</v>
      </c>
      <c r="B22" s="46"/>
      <c r="D22" s="52">
        <v>40919275</v>
      </c>
      <c r="E22" s="50">
        <v>0</v>
      </c>
      <c r="F22" s="52">
        <v>47643592</v>
      </c>
      <c r="G22" s="50">
        <v>0</v>
      </c>
      <c r="H22" s="52">
        <v>46761266</v>
      </c>
      <c r="I22" s="50">
        <v>0</v>
      </c>
      <c r="J22" s="55">
        <v>57018505</v>
      </c>
      <c r="L22" s="58"/>
      <c r="M22" s="58"/>
      <c r="N22" s="58"/>
      <c r="O22" s="58"/>
      <c r="P22" s="58"/>
      <c r="Q22" s="116"/>
    </row>
    <row r="23" spans="1:17" ht="21.75" customHeight="1">
      <c r="A23" s="39" t="s">
        <v>50</v>
      </c>
      <c r="B23" s="46">
        <v>31</v>
      </c>
      <c r="D23" s="74">
        <f>-200521276-1362756</f>
        <v>-201884032</v>
      </c>
      <c r="E23" s="50">
        <v>0</v>
      </c>
      <c r="F23" s="74">
        <v>-233775187</v>
      </c>
      <c r="G23" s="50">
        <v>0</v>
      </c>
      <c r="H23" s="74">
        <v>-77818371</v>
      </c>
      <c r="I23" s="50">
        <v>0</v>
      </c>
      <c r="J23" s="153">
        <v>-76352049</v>
      </c>
    </row>
    <row r="24" spans="1:17" s="51" customFormat="1" ht="21.75" customHeight="1">
      <c r="A24" s="53" t="s">
        <v>146</v>
      </c>
      <c r="B24" s="54"/>
      <c r="D24" s="76">
        <f>SUM(D20:D23)</f>
        <v>-8232184</v>
      </c>
      <c r="E24" s="50"/>
      <c r="F24" s="76">
        <f>SUM(F20:F23)</f>
        <v>-957362704</v>
      </c>
      <c r="G24" s="50"/>
      <c r="H24" s="76">
        <f>SUM(H20:H23)</f>
        <v>-96341639</v>
      </c>
      <c r="I24" s="50"/>
      <c r="J24" s="76">
        <f>SUM(J20:J23)</f>
        <v>-69496173</v>
      </c>
      <c r="L24" s="58"/>
      <c r="M24" s="58"/>
      <c r="N24" s="58"/>
      <c r="O24" s="58"/>
      <c r="P24" s="58"/>
      <c r="Q24" s="116"/>
    </row>
    <row r="25" spans="1:17" ht="21.75" customHeight="1">
      <c r="A25" s="39" t="s">
        <v>244</v>
      </c>
      <c r="B25" s="46">
        <v>33</v>
      </c>
      <c r="D25" s="74">
        <v>13504746</v>
      </c>
      <c r="E25" s="48">
        <v>0</v>
      </c>
      <c r="F25" s="74">
        <v>-73351136</v>
      </c>
      <c r="G25" s="48">
        <v>0</v>
      </c>
      <c r="H25" s="74">
        <v>723988</v>
      </c>
      <c r="I25" s="48">
        <v>0</v>
      </c>
      <c r="J25" s="49">
        <v>-169580</v>
      </c>
    </row>
    <row r="26" spans="1:17" ht="21.75" customHeight="1" thickBot="1">
      <c r="A26" s="35" t="s">
        <v>206</v>
      </c>
      <c r="B26" s="46"/>
      <c r="D26" s="77">
        <f>SUM(D24:D25)</f>
        <v>5272562</v>
      </c>
      <c r="E26" s="48"/>
      <c r="F26" s="77">
        <f>SUM(F24:F25)</f>
        <v>-1030713840</v>
      </c>
      <c r="G26" s="48"/>
      <c r="H26" s="77">
        <f>SUM(H24:H25)</f>
        <v>-95617651</v>
      </c>
      <c r="I26" s="48"/>
      <c r="J26" s="77">
        <f>SUM(J24:J25)</f>
        <v>-69665753</v>
      </c>
    </row>
    <row r="27" spans="1:17" ht="21.75" customHeight="1" thickTop="1">
      <c r="A27" s="35"/>
      <c r="B27" s="46"/>
      <c r="D27" s="50"/>
      <c r="E27" s="48"/>
      <c r="F27" s="50"/>
      <c r="G27" s="48"/>
      <c r="H27" s="59"/>
      <c r="I27" s="48"/>
      <c r="J27" s="59"/>
    </row>
    <row r="28" spans="1:17" ht="21.75" customHeight="1">
      <c r="A28" s="35" t="s">
        <v>112</v>
      </c>
      <c r="B28" s="46"/>
      <c r="D28" s="50"/>
      <c r="E28" s="48"/>
      <c r="F28" s="50"/>
      <c r="G28" s="48"/>
      <c r="H28" s="59"/>
      <c r="I28" s="48"/>
      <c r="J28" s="59"/>
    </row>
    <row r="29" spans="1:17" ht="21.75" customHeight="1" thickBot="1">
      <c r="A29" s="39" t="s">
        <v>71</v>
      </c>
      <c r="B29" s="46"/>
      <c r="D29" s="78">
        <f>SUM(D26-D30)</f>
        <v>7106270</v>
      </c>
      <c r="E29" s="48"/>
      <c r="F29" s="78">
        <v>-1031757438</v>
      </c>
      <c r="G29" s="48"/>
      <c r="H29" s="79">
        <f>H26</f>
        <v>-95617651</v>
      </c>
      <c r="I29" s="48"/>
      <c r="J29" s="79">
        <f>J26</f>
        <v>-69665753</v>
      </c>
    </row>
    <row r="30" spans="1:17" ht="21.75" customHeight="1" thickTop="1">
      <c r="A30" s="39" t="s">
        <v>70</v>
      </c>
      <c r="B30" s="46"/>
      <c r="D30" s="74">
        <v>-1833708</v>
      </c>
      <c r="E30" s="48"/>
      <c r="F30" s="74">
        <v>1043598</v>
      </c>
      <c r="G30" s="48"/>
      <c r="H30" s="59"/>
      <c r="I30" s="48"/>
      <c r="J30" s="59"/>
    </row>
    <row r="31" spans="1:17" ht="21.75" customHeight="1" thickBot="1">
      <c r="B31" s="46"/>
      <c r="D31" s="56">
        <f>SUM(D29:D30)</f>
        <v>5272562</v>
      </c>
      <c r="E31" s="48"/>
      <c r="F31" s="56">
        <f>SUM(F29:F30)</f>
        <v>-1030713840</v>
      </c>
      <c r="G31" s="48"/>
      <c r="H31" s="59"/>
      <c r="I31" s="48"/>
      <c r="J31" s="59"/>
    </row>
    <row r="32" spans="1:17" ht="21.75" customHeight="1" thickTop="1">
      <c r="B32" s="46"/>
      <c r="D32" s="50"/>
      <c r="E32" s="48"/>
      <c r="F32" s="50"/>
      <c r="G32" s="48"/>
      <c r="H32" s="59"/>
      <c r="I32" s="48"/>
      <c r="J32" s="59"/>
    </row>
    <row r="33" spans="1:17" ht="21.75" customHeight="1">
      <c r="A33" s="35" t="s">
        <v>247</v>
      </c>
      <c r="B33" s="46">
        <v>34</v>
      </c>
      <c r="D33" s="50"/>
      <c r="E33" s="48"/>
      <c r="F33" s="50"/>
      <c r="G33" s="48"/>
      <c r="H33" s="59"/>
      <c r="I33" s="48"/>
      <c r="J33" s="59"/>
    </row>
    <row r="34" spans="1:17" ht="21.75" customHeight="1">
      <c r="A34" s="35" t="s">
        <v>245</v>
      </c>
      <c r="B34" s="46"/>
      <c r="D34" s="58"/>
      <c r="F34" s="58"/>
    </row>
    <row r="35" spans="1:17" ht="21.75" customHeight="1" thickBot="1">
      <c r="A35" s="39" t="s">
        <v>246</v>
      </c>
      <c r="B35" s="46"/>
      <c r="D35" s="57">
        <f>+D29/166682701</f>
        <v>4.2633518399728836E-2</v>
      </c>
      <c r="E35" s="58"/>
      <c r="F35" s="57">
        <f>F29/166682701</f>
        <v>-6.1899491177551775</v>
      </c>
      <c r="G35" s="58"/>
      <c r="H35" s="57">
        <f>H29/166682701</f>
        <v>-0.57365071735908579</v>
      </c>
      <c r="I35" s="58"/>
      <c r="J35" s="57">
        <f>J29/166682701</f>
        <v>-0.41795430828781688</v>
      </c>
    </row>
    <row r="36" spans="1:17" ht="21.75" customHeight="1" thickTop="1"/>
    <row r="37" spans="1:17" ht="21.75" customHeight="1">
      <c r="A37" s="39" t="s">
        <v>18</v>
      </c>
      <c r="B37" s="37"/>
      <c r="D37" s="59"/>
      <c r="E37" s="48"/>
      <c r="F37" s="59"/>
      <c r="G37" s="48"/>
      <c r="H37" s="59"/>
      <c r="I37" s="48"/>
      <c r="J37" s="59"/>
    </row>
    <row r="38" spans="1:17" s="35" customFormat="1" ht="21.75" customHeight="1">
      <c r="A38" s="35" t="s">
        <v>0</v>
      </c>
      <c r="D38" s="36"/>
      <c r="F38" s="36"/>
      <c r="H38" s="36"/>
      <c r="J38" s="36"/>
      <c r="L38" s="58"/>
      <c r="M38" s="58"/>
      <c r="N38" s="58"/>
      <c r="O38" s="58"/>
      <c r="P38" s="58"/>
      <c r="Q38" s="113"/>
    </row>
    <row r="39" spans="1:17" s="35" customFormat="1" ht="21.75" customHeight="1">
      <c r="A39" s="35" t="s">
        <v>98</v>
      </c>
      <c r="D39" s="36"/>
      <c r="F39" s="36"/>
      <c r="H39" s="36"/>
      <c r="J39" s="36"/>
      <c r="L39" s="58"/>
      <c r="M39" s="58"/>
      <c r="N39" s="58"/>
      <c r="O39" s="58"/>
      <c r="P39" s="58"/>
      <c r="Q39" s="113"/>
    </row>
    <row r="40" spans="1:17" s="35" customFormat="1" ht="21.75" customHeight="1">
      <c r="A40" s="35" t="str">
        <f>A3</f>
        <v>For the year ended 31 December 2022</v>
      </c>
      <c r="D40" s="36"/>
      <c r="F40" s="36"/>
      <c r="H40" s="36"/>
      <c r="J40" s="36"/>
      <c r="L40" s="58"/>
      <c r="M40" s="58"/>
      <c r="N40" s="58"/>
      <c r="O40" s="58"/>
      <c r="P40" s="58"/>
      <c r="Q40" s="113"/>
    </row>
    <row r="41" spans="1:17" s="37" customFormat="1" ht="21.75" customHeight="1">
      <c r="D41" s="38"/>
      <c r="E41" s="39"/>
      <c r="F41" s="38"/>
      <c r="G41" s="39"/>
      <c r="H41" s="40"/>
      <c r="I41" s="39"/>
      <c r="J41" s="40" t="s">
        <v>1</v>
      </c>
      <c r="L41" s="58"/>
      <c r="M41" s="58"/>
      <c r="N41" s="58"/>
      <c r="O41" s="58"/>
      <c r="P41" s="58"/>
      <c r="Q41" s="114"/>
    </row>
    <row r="42" spans="1:17" s="41" customFormat="1" ht="21.75" customHeight="1">
      <c r="D42" s="42"/>
      <c r="E42" s="152" t="s">
        <v>2</v>
      </c>
      <c r="F42" s="42"/>
      <c r="H42" s="42"/>
      <c r="I42" s="152" t="s">
        <v>3</v>
      </c>
      <c r="J42" s="42"/>
      <c r="L42" s="58"/>
      <c r="M42" s="58"/>
      <c r="N42" s="58"/>
      <c r="O42" s="58"/>
      <c r="P42" s="58"/>
      <c r="Q42" s="115"/>
    </row>
    <row r="43" spans="1:17" s="37" customFormat="1" ht="21.75" customHeight="1">
      <c r="B43" s="109" t="s">
        <v>4</v>
      </c>
      <c r="D43" s="112">
        <f>D6</f>
        <v>2022</v>
      </c>
      <c r="E43" s="44"/>
      <c r="F43" s="112">
        <f>F6</f>
        <v>2021</v>
      </c>
      <c r="G43" s="44"/>
      <c r="H43" s="112">
        <f>H6</f>
        <v>2022</v>
      </c>
      <c r="I43" s="44"/>
      <c r="J43" s="112">
        <f>J6</f>
        <v>2021</v>
      </c>
      <c r="L43" s="58"/>
      <c r="M43" s="58"/>
      <c r="N43" s="58"/>
      <c r="O43" s="58"/>
      <c r="P43" s="58"/>
      <c r="Q43" s="114"/>
    </row>
    <row r="44" spans="1:17" s="37" customFormat="1" ht="21.75" customHeight="1">
      <c r="B44" s="59"/>
      <c r="D44" s="43"/>
      <c r="E44" s="44"/>
      <c r="F44" s="45"/>
      <c r="G44" s="44"/>
      <c r="H44" s="43"/>
      <c r="I44" s="44"/>
      <c r="J44" s="45"/>
      <c r="L44" s="58"/>
      <c r="M44" s="58"/>
      <c r="N44" s="58"/>
      <c r="O44" s="58"/>
      <c r="P44" s="58"/>
      <c r="Q44" s="114"/>
    </row>
    <row r="45" spans="1:17" ht="21.75" customHeight="1" thickBot="1">
      <c r="A45" s="35" t="s">
        <v>206</v>
      </c>
      <c r="B45" s="37"/>
      <c r="D45" s="56">
        <f>+D31</f>
        <v>5272562</v>
      </c>
      <c r="E45" s="50"/>
      <c r="F45" s="56">
        <v>-1030713840</v>
      </c>
      <c r="G45" s="50"/>
      <c r="H45" s="56">
        <f>+H29</f>
        <v>-95617651</v>
      </c>
      <c r="I45" s="50"/>
      <c r="J45" s="56">
        <v>-69665753</v>
      </c>
    </row>
    <row r="46" spans="1:17" ht="21.75" customHeight="1" thickTop="1">
      <c r="A46" s="35"/>
      <c r="B46" s="37"/>
      <c r="D46" s="50"/>
      <c r="E46" s="50"/>
      <c r="F46" s="50"/>
      <c r="G46" s="50"/>
      <c r="H46" s="50"/>
      <c r="I46" s="50"/>
      <c r="J46" s="50"/>
    </row>
    <row r="47" spans="1:17" ht="21.75" customHeight="1">
      <c r="A47" s="35" t="s">
        <v>209</v>
      </c>
      <c r="B47" s="37"/>
      <c r="D47" s="50"/>
      <c r="E47" s="50"/>
      <c r="F47" s="50"/>
      <c r="G47" s="50"/>
      <c r="H47" s="50"/>
      <c r="I47" s="50"/>
      <c r="J47" s="50"/>
    </row>
    <row r="48" spans="1:17" ht="21.75" customHeight="1">
      <c r="A48" s="60" t="s">
        <v>226</v>
      </c>
      <c r="B48" s="37"/>
      <c r="D48" s="50"/>
      <c r="E48" s="50"/>
      <c r="F48" s="50"/>
      <c r="G48" s="50"/>
      <c r="H48" s="50"/>
      <c r="I48" s="50"/>
      <c r="J48" s="50"/>
    </row>
    <row r="49" spans="1:11" ht="21.75" customHeight="1">
      <c r="A49" s="60" t="s">
        <v>111</v>
      </c>
      <c r="B49" s="37"/>
      <c r="D49" s="50"/>
      <c r="E49" s="50"/>
      <c r="F49" s="50"/>
      <c r="G49" s="50"/>
      <c r="H49" s="50"/>
      <c r="I49" s="50"/>
      <c r="J49" s="50"/>
    </row>
    <row r="50" spans="1:11" ht="21.75" customHeight="1">
      <c r="A50" s="39" t="s">
        <v>115</v>
      </c>
      <c r="B50" s="46"/>
      <c r="D50" s="50"/>
      <c r="E50" s="50"/>
      <c r="F50" s="50"/>
      <c r="G50" s="50"/>
      <c r="H50" s="50"/>
      <c r="I50" s="50"/>
      <c r="J50" s="50"/>
    </row>
    <row r="51" spans="1:11" ht="21.75" customHeight="1">
      <c r="A51" s="39" t="s">
        <v>132</v>
      </c>
      <c r="B51" s="46"/>
      <c r="D51" s="72">
        <v>10237281</v>
      </c>
      <c r="E51" s="50">
        <v>0</v>
      </c>
      <c r="F51" s="72">
        <v>-9234718</v>
      </c>
      <c r="G51" s="50"/>
      <c r="H51" s="65">
        <v>0</v>
      </c>
      <c r="I51" s="50"/>
      <c r="J51" s="65">
        <v>0</v>
      </c>
    </row>
    <row r="52" spans="1:11" ht="21.75" customHeight="1">
      <c r="A52" s="39" t="s">
        <v>210</v>
      </c>
      <c r="B52" s="46">
        <v>17</v>
      </c>
      <c r="D52" s="68">
        <v>-11022337</v>
      </c>
      <c r="E52" s="50">
        <v>0</v>
      </c>
      <c r="F52" s="68">
        <v>5651048</v>
      </c>
      <c r="G52" s="50"/>
      <c r="H52" s="68">
        <v>0</v>
      </c>
      <c r="I52" s="50"/>
      <c r="J52" s="68">
        <v>0</v>
      </c>
    </row>
    <row r="53" spans="1:11" ht="21.75" customHeight="1">
      <c r="A53" s="39" t="s">
        <v>226</v>
      </c>
      <c r="B53" s="46"/>
      <c r="D53" s="65"/>
      <c r="E53" s="50"/>
      <c r="F53" s="65"/>
      <c r="G53" s="50"/>
      <c r="H53" s="65"/>
      <c r="I53" s="50"/>
      <c r="J53" s="65"/>
    </row>
    <row r="54" spans="1:11" ht="21.75" customHeight="1">
      <c r="A54" s="39" t="s">
        <v>117</v>
      </c>
      <c r="B54" s="46"/>
      <c r="D54" s="49">
        <f>SUM(D51:D52)</f>
        <v>-785056</v>
      </c>
      <c r="E54" s="50"/>
      <c r="F54" s="49">
        <f>SUM(F51:F52)</f>
        <v>-3583670</v>
      </c>
      <c r="G54" s="50"/>
      <c r="H54" s="49">
        <f>SUM(H51:H52)</f>
        <v>0</v>
      </c>
      <c r="I54" s="50"/>
      <c r="J54" s="49">
        <f>SUM(J51:J52)</f>
        <v>0</v>
      </c>
    </row>
    <row r="55" spans="1:11" ht="21.75" customHeight="1">
      <c r="B55" s="46"/>
      <c r="D55" s="50"/>
      <c r="E55" s="50"/>
      <c r="F55" s="50"/>
      <c r="G55" s="50"/>
      <c r="H55" s="50"/>
      <c r="I55" s="50"/>
      <c r="J55" s="50"/>
    </row>
    <row r="56" spans="1:11" ht="21.75" customHeight="1">
      <c r="A56" s="60" t="s">
        <v>211</v>
      </c>
      <c r="B56" s="46"/>
      <c r="D56" s="50"/>
      <c r="E56" s="50"/>
      <c r="F56" s="50"/>
      <c r="G56" s="50"/>
      <c r="H56" s="50"/>
      <c r="I56" s="50"/>
      <c r="J56" s="50"/>
    </row>
    <row r="57" spans="1:11" ht="21.75" customHeight="1">
      <c r="A57" s="60" t="s">
        <v>111</v>
      </c>
      <c r="B57" s="46"/>
      <c r="D57" s="50"/>
      <c r="E57" s="50"/>
      <c r="F57" s="50"/>
      <c r="G57" s="50"/>
      <c r="H57" s="50"/>
      <c r="I57" s="50"/>
      <c r="J57" s="50"/>
    </row>
    <row r="58" spans="1:11" ht="21.75" customHeight="1">
      <c r="A58" s="39" t="s">
        <v>248</v>
      </c>
      <c r="B58" s="46"/>
      <c r="D58" s="50"/>
      <c r="E58" s="50"/>
      <c r="F58" s="50"/>
      <c r="G58" s="50"/>
      <c r="H58" s="50"/>
      <c r="I58" s="50"/>
      <c r="J58" s="50"/>
    </row>
    <row r="59" spans="1:11" ht="21.75" customHeight="1">
      <c r="A59" s="39" t="s">
        <v>142</v>
      </c>
      <c r="B59" s="46"/>
      <c r="D59" s="50">
        <v>15117318</v>
      </c>
      <c r="E59" s="50">
        <v>0</v>
      </c>
      <c r="F59" s="50">
        <v>106472478</v>
      </c>
      <c r="G59" s="50">
        <v>0</v>
      </c>
      <c r="H59" s="50">
        <v>0</v>
      </c>
      <c r="I59" s="50">
        <v>0</v>
      </c>
      <c r="J59" s="50">
        <v>0</v>
      </c>
      <c r="K59" s="108"/>
    </row>
    <row r="60" spans="1:11" ht="21.75" customHeight="1">
      <c r="A60" s="39" t="s">
        <v>210</v>
      </c>
      <c r="B60" s="46">
        <v>17</v>
      </c>
      <c r="D60" s="49">
        <v>7089652</v>
      </c>
      <c r="E60" s="50">
        <v>0</v>
      </c>
      <c r="F60" s="49">
        <v>-236760</v>
      </c>
      <c r="G60" s="50">
        <v>0</v>
      </c>
      <c r="H60" s="49">
        <v>0</v>
      </c>
      <c r="I60" s="50">
        <v>0</v>
      </c>
      <c r="J60" s="49">
        <v>0</v>
      </c>
    </row>
    <row r="61" spans="1:11" ht="21.75" customHeight="1">
      <c r="A61" s="39" t="s">
        <v>249</v>
      </c>
      <c r="B61" s="46"/>
      <c r="D61" s="50"/>
      <c r="E61" s="50"/>
      <c r="F61" s="50"/>
      <c r="G61" s="50"/>
      <c r="H61" s="50"/>
      <c r="I61" s="50"/>
      <c r="J61" s="50"/>
    </row>
    <row r="62" spans="1:11" ht="21.75" customHeight="1">
      <c r="A62" s="39" t="s">
        <v>117</v>
      </c>
      <c r="B62" s="46"/>
      <c r="D62" s="68">
        <f>SUM(D58:D60)</f>
        <v>22206970</v>
      </c>
      <c r="E62" s="50"/>
      <c r="F62" s="68">
        <f>SUM(F58:F60)</f>
        <v>106235718</v>
      </c>
      <c r="G62" s="50"/>
      <c r="H62" s="68">
        <f>SUM(H58:H60)</f>
        <v>0</v>
      </c>
      <c r="I62" s="50"/>
      <c r="J62" s="68">
        <f>SUM(J58:J60)</f>
        <v>0</v>
      </c>
    </row>
    <row r="63" spans="1:11" ht="21.75" customHeight="1">
      <c r="A63" s="35" t="s">
        <v>250</v>
      </c>
      <c r="B63" s="46"/>
      <c r="D63" s="61">
        <f>SUM(D54,D62)</f>
        <v>21421914</v>
      </c>
      <c r="E63" s="50"/>
      <c r="F63" s="61">
        <f>SUM(F54,F62)</f>
        <v>102652048</v>
      </c>
      <c r="G63" s="50"/>
      <c r="H63" s="61">
        <f>SUM(H54,H62)</f>
        <v>0</v>
      </c>
      <c r="I63" s="50"/>
      <c r="J63" s="61">
        <f>SUM(J54,J62)</f>
        <v>0</v>
      </c>
    </row>
    <row r="64" spans="1:11" ht="21.75" customHeight="1">
      <c r="A64" s="35"/>
      <c r="B64" s="46"/>
      <c r="D64" s="50"/>
      <c r="E64" s="50"/>
      <c r="F64" s="50"/>
      <c r="G64" s="50"/>
      <c r="H64" s="50"/>
      <c r="I64" s="50"/>
      <c r="J64" s="50"/>
    </row>
    <row r="65" spans="1:10" ht="21.75" customHeight="1" thickBot="1">
      <c r="A65" s="35" t="s">
        <v>213</v>
      </c>
      <c r="B65" s="46"/>
      <c r="D65" s="56">
        <f>SUM(D45,D63)</f>
        <v>26694476</v>
      </c>
      <c r="E65" s="50"/>
      <c r="F65" s="56">
        <f>SUM(F45,F63)</f>
        <v>-928061792</v>
      </c>
      <c r="G65" s="50"/>
      <c r="H65" s="56">
        <f>SUM(H45,H63)</f>
        <v>-95617651</v>
      </c>
      <c r="I65" s="50"/>
      <c r="J65" s="56">
        <f>SUM(J45,J63)</f>
        <v>-69665753</v>
      </c>
    </row>
    <row r="66" spans="1:10" ht="21.75" customHeight="1" thickTop="1">
      <c r="B66" s="37"/>
      <c r="D66" s="50"/>
      <c r="E66" s="50"/>
      <c r="F66" s="50"/>
      <c r="G66" s="48"/>
      <c r="H66" s="50"/>
      <c r="I66" s="48"/>
      <c r="J66" s="50"/>
    </row>
    <row r="67" spans="1:10" ht="21.75" customHeight="1">
      <c r="A67" s="35" t="s">
        <v>214</v>
      </c>
      <c r="B67" s="37"/>
      <c r="D67" s="50"/>
      <c r="E67" s="50"/>
      <c r="F67" s="50"/>
      <c r="G67" s="48"/>
      <c r="H67" s="50"/>
      <c r="I67" s="48"/>
      <c r="J67" s="50"/>
    </row>
    <row r="68" spans="1:10" ht="21.75" customHeight="1" thickBot="1">
      <c r="A68" s="39" t="s">
        <v>71</v>
      </c>
      <c r="B68" s="37"/>
      <c r="D68" s="72">
        <f>+D65-D69</f>
        <v>27320167</v>
      </c>
      <c r="E68" s="50">
        <v>0</v>
      </c>
      <c r="F68" s="72">
        <v>-928929741</v>
      </c>
      <c r="G68" s="48"/>
      <c r="H68" s="56">
        <f>H65</f>
        <v>-95617651</v>
      </c>
      <c r="I68" s="48"/>
      <c r="J68" s="56">
        <f>J65</f>
        <v>-69665753</v>
      </c>
    </row>
    <row r="69" spans="1:10" ht="21.75" customHeight="1" thickTop="1">
      <c r="A69" s="39" t="s">
        <v>70</v>
      </c>
      <c r="B69" s="37"/>
      <c r="D69" s="74">
        <v>-625691</v>
      </c>
      <c r="E69" s="50">
        <v>0</v>
      </c>
      <c r="F69" s="74">
        <v>867949</v>
      </c>
      <c r="G69" s="48"/>
      <c r="H69" s="50"/>
      <c r="I69" s="48"/>
      <c r="J69" s="50"/>
    </row>
    <row r="70" spans="1:10" ht="21.75" customHeight="1" thickBot="1">
      <c r="B70" s="37"/>
      <c r="D70" s="56">
        <f>SUM(D68:D69)</f>
        <v>26694476</v>
      </c>
      <c r="E70" s="50"/>
      <c r="F70" s="56">
        <f>SUM(F68:F69)</f>
        <v>-928061792</v>
      </c>
      <c r="G70" s="48"/>
      <c r="H70" s="50"/>
      <c r="I70" s="48"/>
      <c r="J70" s="50"/>
    </row>
    <row r="71" spans="1:10" ht="21.75" customHeight="1" thickTop="1">
      <c r="B71" s="37"/>
      <c r="D71" s="50">
        <v>0</v>
      </c>
      <c r="E71" s="59"/>
      <c r="F71" s="50"/>
      <c r="G71" s="62"/>
      <c r="H71" s="50">
        <v>0</v>
      </c>
      <c r="J71" s="63"/>
    </row>
    <row r="72" spans="1:10" ht="21.75" customHeight="1">
      <c r="A72" s="39" t="s">
        <v>18</v>
      </c>
      <c r="D72" s="59"/>
    </row>
    <row r="76" spans="1:10" ht="21.75" customHeight="1">
      <c r="E76" s="38"/>
      <c r="G76" s="38"/>
      <c r="I76" s="38"/>
    </row>
    <row r="77" spans="1:10" ht="21.75" customHeight="1">
      <c r="E77" s="38"/>
      <c r="G77" s="38"/>
      <c r="I77" s="38"/>
    </row>
    <row r="78" spans="1:10" ht="21.75" customHeight="1">
      <c r="E78" s="38"/>
      <c r="G78" s="38"/>
      <c r="I78" s="38"/>
    </row>
    <row r="79" spans="1:10" ht="21.75" customHeight="1">
      <c r="E79" s="38"/>
      <c r="G79" s="38"/>
      <c r="I79" s="38"/>
    </row>
    <row r="80" spans="1:10" ht="21.75" customHeight="1">
      <c r="E80" s="38"/>
      <c r="G80" s="38"/>
      <c r="I80" s="38"/>
    </row>
  </sheetData>
  <phoneticPr fontId="4" type="noConversion"/>
  <pageMargins left="0.78740157480314965" right="0.28999999999999998" top="0.78740157480314965" bottom="0.39370078740157483" header="0.19685039370078741" footer="0.19685039370078741"/>
  <pageSetup paperSize="9" scale="74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39"/>
  <sheetViews>
    <sheetView showGridLines="0" tabSelected="1" zoomScale="85" zoomScaleNormal="85" zoomScaleSheetLayoutView="115" workbookViewId="0">
      <selection activeCell="F58" sqref="F58"/>
    </sheetView>
  </sheetViews>
  <sheetFormatPr defaultColWidth="9.28515625" defaultRowHeight="14.85" customHeight="1"/>
  <cols>
    <col min="1" max="1" width="19.28515625" style="7" customWidth="1"/>
    <col min="2" max="2" width="4.7109375" style="7" customWidth="1"/>
    <col min="3" max="3" width="7" style="7" customWidth="1"/>
    <col min="4" max="4" width="1.7109375" style="7" customWidth="1"/>
    <col min="5" max="5" width="1.28515625" style="98" customWidth="1"/>
    <col min="6" max="6" width="11" style="7" customWidth="1"/>
    <col min="7" max="7" width="1.28515625" style="98" customWidth="1"/>
    <col min="8" max="8" width="11.42578125" style="7" bestFit="1" customWidth="1"/>
    <col min="9" max="9" width="1.28515625" style="98" customWidth="1"/>
    <col min="10" max="10" width="11.42578125" style="98" customWidth="1"/>
    <col min="11" max="11" width="1.28515625" style="98" customWidth="1"/>
    <col min="12" max="12" width="11" style="7" customWidth="1"/>
    <col min="13" max="13" width="1.28515625" style="98" customWidth="1"/>
    <col min="14" max="14" width="11.5703125" style="7" bestFit="1" customWidth="1"/>
    <col min="15" max="15" width="1.28515625" style="7" customWidth="1"/>
    <col min="16" max="16" width="11.42578125" style="7" bestFit="1" customWidth="1"/>
    <col min="17" max="17" width="1.28515625" style="98" customWidth="1"/>
    <col min="18" max="18" width="11" style="7" customWidth="1"/>
    <col min="19" max="19" width="1.28515625" style="7" customWidth="1"/>
    <col min="20" max="20" width="11" style="98" customWidth="1"/>
    <col min="21" max="21" width="1.28515625" style="98" customWidth="1"/>
    <col min="22" max="22" width="12" style="98" customWidth="1"/>
    <col min="23" max="23" width="1.28515625" style="98" customWidth="1"/>
    <col min="24" max="24" width="12" style="98" customWidth="1"/>
    <col min="25" max="25" width="1.28515625" style="98" customWidth="1"/>
    <col min="26" max="26" width="11" style="7" customWidth="1"/>
    <col min="27" max="27" width="1.28515625" style="98" customWidth="1"/>
    <col min="28" max="28" width="14" style="98" customWidth="1"/>
    <col min="29" max="29" width="1.28515625" style="98" customWidth="1"/>
    <col min="30" max="30" width="14" style="7" customWidth="1"/>
    <col min="31" max="31" width="1.28515625" style="7" customWidth="1"/>
    <col min="32" max="32" width="14" style="7" customWidth="1"/>
    <col min="33" max="33" width="11.28515625" style="7" bestFit="1" customWidth="1"/>
    <col min="34" max="16384" width="9.28515625" style="7"/>
  </cols>
  <sheetData>
    <row r="1" spans="1:32" s="8" customFormat="1" ht="14.85" customHeight="1">
      <c r="A1" s="8" t="s">
        <v>0</v>
      </c>
      <c r="AF1" s="97"/>
    </row>
    <row r="2" spans="1:32" s="8" customFormat="1" ht="14.85" customHeight="1">
      <c r="A2" s="8" t="s">
        <v>95</v>
      </c>
    </row>
    <row r="3" spans="1:32" s="8" customFormat="1" ht="14.85" customHeight="1">
      <c r="A3" s="8" t="s">
        <v>234</v>
      </c>
    </row>
    <row r="4" spans="1:32" s="98" customFormat="1" ht="14.85" customHeight="1">
      <c r="AF4" s="99" t="s">
        <v>1</v>
      </c>
    </row>
    <row r="5" spans="1:32" ht="14.85" customHeight="1">
      <c r="C5" s="11"/>
      <c r="D5" s="11"/>
      <c r="E5" s="11"/>
      <c r="F5" s="168" t="s">
        <v>2</v>
      </c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</row>
    <row r="6" spans="1:32" s="10" customFormat="1" ht="14.85" customHeight="1">
      <c r="F6" s="167" t="s">
        <v>72</v>
      </c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1"/>
    </row>
    <row r="7" spans="1:32" s="10" customFormat="1" ht="14.85" customHeight="1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67" t="s">
        <v>73</v>
      </c>
      <c r="S7" s="167"/>
      <c r="T7" s="167"/>
      <c r="U7" s="167"/>
      <c r="V7" s="167"/>
      <c r="W7" s="167"/>
      <c r="X7" s="167"/>
      <c r="Y7" s="167"/>
      <c r="Z7" s="167"/>
      <c r="AA7" s="11"/>
      <c r="AB7" s="11"/>
      <c r="AC7" s="11"/>
    </row>
    <row r="8" spans="1:32" s="10" customFormat="1" ht="14.85" customHeight="1">
      <c r="F8" s="11"/>
      <c r="G8" s="11"/>
      <c r="H8" s="11"/>
      <c r="I8" s="11"/>
      <c r="J8" s="11"/>
      <c r="K8" s="11"/>
      <c r="L8" s="11"/>
      <c r="M8" s="11"/>
      <c r="N8" s="11"/>
      <c r="O8" s="11"/>
      <c r="P8" s="105"/>
      <c r="Q8" s="11"/>
      <c r="R8" s="167" t="s">
        <v>74</v>
      </c>
      <c r="S8" s="167"/>
      <c r="T8" s="167"/>
      <c r="U8" s="167"/>
      <c r="V8" s="167"/>
      <c r="W8" s="167"/>
      <c r="X8" s="167"/>
      <c r="Y8" s="11"/>
      <c r="Z8" s="11"/>
      <c r="AA8" s="11"/>
      <c r="AB8" s="11"/>
      <c r="AC8" s="11"/>
    </row>
    <row r="9" spans="1:32" s="10" customFormat="1" ht="14.85" customHeight="1"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 t="s">
        <v>75</v>
      </c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32" s="10" customFormat="1" ht="14.85" customHeight="1">
      <c r="F10" s="11"/>
      <c r="G10" s="11"/>
      <c r="H10" s="11"/>
      <c r="I10" s="11"/>
      <c r="J10" s="11" t="s">
        <v>239</v>
      </c>
      <c r="K10" s="11"/>
      <c r="L10" s="11"/>
      <c r="M10" s="11"/>
      <c r="N10" s="11"/>
      <c r="O10" s="11"/>
      <c r="P10" s="11"/>
      <c r="Q10" s="11"/>
      <c r="R10" s="11" t="s">
        <v>76</v>
      </c>
      <c r="S10" s="11"/>
      <c r="T10" s="11"/>
      <c r="U10" s="11"/>
      <c r="V10" s="11" t="s">
        <v>251</v>
      </c>
      <c r="W10" s="11"/>
      <c r="X10" s="11"/>
      <c r="Y10" s="11"/>
      <c r="Z10" s="11"/>
      <c r="AA10" s="11"/>
      <c r="AB10" s="11"/>
      <c r="AC10" s="11"/>
      <c r="AD10" s="10" t="s">
        <v>99</v>
      </c>
    </row>
    <row r="11" spans="1:32" s="10" customFormat="1" ht="14.85" customHeight="1">
      <c r="F11" s="11"/>
      <c r="G11" s="11"/>
      <c r="H11" s="11"/>
      <c r="I11" s="11"/>
      <c r="J11" s="11" t="s">
        <v>238</v>
      </c>
      <c r="K11" s="11"/>
      <c r="L11" s="11"/>
      <c r="M11" s="11"/>
      <c r="N11" s="11"/>
      <c r="O11" s="11"/>
      <c r="P11" s="11"/>
      <c r="Q11" s="11"/>
      <c r="R11" s="11" t="s">
        <v>77</v>
      </c>
      <c r="S11" s="11"/>
      <c r="T11" s="11"/>
      <c r="U11" s="11"/>
      <c r="V11" s="28" t="s">
        <v>128</v>
      </c>
      <c r="W11" s="11"/>
      <c r="X11" s="28" t="s">
        <v>113</v>
      </c>
      <c r="Y11" s="11"/>
      <c r="Z11" s="11" t="s">
        <v>78</v>
      </c>
      <c r="AA11" s="11"/>
      <c r="AB11" s="11" t="s">
        <v>58</v>
      </c>
      <c r="AC11" s="11"/>
      <c r="AD11" s="10" t="s">
        <v>100</v>
      </c>
    </row>
    <row r="12" spans="1:32" s="10" customFormat="1" ht="14.85" customHeight="1">
      <c r="F12" s="11" t="s">
        <v>51</v>
      </c>
      <c r="G12" s="11"/>
      <c r="I12" s="11"/>
      <c r="J12" s="11" t="s">
        <v>237</v>
      </c>
      <c r="K12" s="11"/>
      <c r="M12" s="11"/>
      <c r="N12" s="166" t="s">
        <v>37</v>
      </c>
      <c r="O12" s="166"/>
      <c r="P12" s="166"/>
      <c r="Q12" s="11"/>
      <c r="R12" s="10" t="s">
        <v>79</v>
      </c>
      <c r="T12" s="10" t="s">
        <v>53</v>
      </c>
      <c r="U12" s="11"/>
      <c r="V12" s="28" t="s">
        <v>129</v>
      </c>
      <c r="W12" s="11"/>
      <c r="X12" s="28" t="s">
        <v>114</v>
      </c>
      <c r="Y12" s="11"/>
      <c r="Z12" s="10" t="s">
        <v>80</v>
      </c>
      <c r="AA12" s="11"/>
      <c r="AB12" s="11" t="s">
        <v>81</v>
      </c>
      <c r="AC12" s="11"/>
      <c r="AD12" s="10" t="s">
        <v>82</v>
      </c>
      <c r="AF12" s="10" t="s">
        <v>57</v>
      </c>
    </row>
    <row r="13" spans="1:32" s="10" customFormat="1" ht="14.85" customHeight="1">
      <c r="F13" s="11" t="s">
        <v>52</v>
      </c>
      <c r="G13" s="11"/>
      <c r="I13" s="11"/>
      <c r="J13" s="11" t="s">
        <v>236</v>
      </c>
      <c r="K13" s="11"/>
      <c r="M13" s="11"/>
      <c r="N13" s="10" t="s">
        <v>54</v>
      </c>
      <c r="O13" s="11"/>
      <c r="Q13" s="11"/>
      <c r="R13" s="10" t="s">
        <v>83</v>
      </c>
      <c r="T13" s="10" t="s">
        <v>59</v>
      </c>
      <c r="U13" s="11"/>
      <c r="V13" s="29" t="s">
        <v>130</v>
      </c>
      <c r="W13" s="11"/>
      <c r="X13" s="29" t="s">
        <v>252</v>
      </c>
      <c r="Y13" s="11"/>
      <c r="Z13" s="10" t="s">
        <v>84</v>
      </c>
      <c r="AA13" s="11"/>
      <c r="AB13" s="11" t="s">
        <v>85</v>
      </c>
      <c r="AC13" s="11"/>
      <c r="AD13" s="11" t="s">
        <v>86</v>
      </c>
      <c r="AF13" s="10" t="s">
        <v>84</v>
      </c>
    </row>
    <row r="14" spans="1:32" s="10" customFormat="1" ht="14.85" customHeight="1">
      <c r="C14" s="11"/>
      <c r="D14" s="11"/>
      <c r="E14" s="11"/>
      <c r="F14" s="117" t="s">
        <v>55</v>
      </c>
      <c r="G14" s="11"/>
      <c r="H14" s="117" t="s">
        <v>35</v>
      </c>
      <c r="I14" s="11"/>
      <c r="J14" s="117" t="s">
        <v>235</v>
      </c>
      <c r="K14" s="11"/>
      <c r="L14" s="117" t="s">
        <v>36</v>
      </c>
      <c r="M14" s="11"/>
      <c r="N14" s="117" t="s">
        <v>61</v>
      </c>
      <c r="O14" s="11"/>
      <c r="P14" s="117" t="s">
        <v>56</v>
      </c>
      <c r="Q14" s="11"/>
      <c r="R14" s="117" t="s">
        <v>87</v>
      </c>
      <c r="S14" s="11"/>
      <c r="T14" s="117" t="s">
        <v>60</v>
      </c>
      <c r="U14" s="11"/>
      <c r="V14" s="117" t="s">
        <v>131</v>
      </c>
      <c r="W14" s="11"/>
      <c r="X14" s="117" t="s">
        <v>116</v>
      </c>
      <c r="Y14" s="11"/>
      <c r="Z14" s="117" t="s">
        <v>88</v>
      </c>
      <c r="AA14" s="11"/>
      <c r="AB14" s="117" t="s">
        <v>89</v>
      </c>
      <c r="AC14" s="11"/>
      <c r="AD14" s="117" t="s">
        <v>90</v>
      </c>
      <c r="AF14" s="117" t="s">
        <v>88</v>
      </c>
    </row>
    <row r="15" spans="1:32" ht="14.85" customHeight="1">
      <c r="A15" s="8" t="s">
        <v>143</v>
      </c>
      <c r="C15" s="9"/>
      <c r="E15" s="7"/>
      <c r="F15" s="105">
        <v>1666827010</v>
      </c>
      <c r="G15" s="106"/>
      <c r="H15" s="105">
        <v>2062460582</v>
      </c>
      <c r="I15" s="106"/>
      <c r="J15" s="150">
        <v>0</v>
      </c>
      <c r="K15" s="106"/>
      <c r="L15" s="105">
        <v>568130588</v>
      </c>
      <c r="M15" s="106"/>
      <c r="N15" s="105">
        <v>211675358</v>
      </c>
      <c r="O15" s="106"/>
      <c r="P15" s="105">
        <v>447533915</v>
      </c>
      <c r="Q15" s="106"/>
      <c r="R15" s="105">
        <v>124299293</v>
      </c>
      <c r="S15" s="106"/>
      <c r="T15" s="105">
        <v>5478403112</v>
      </c>
      <c r="U15" s="106"/>
      <c r="V15" s="105">
        <v>85453083</v>
      </c>
      <c r="W15" s="106"/>
      <c r="X15" s="105">
        <v>-12207317</v>
      </c>
      <c r="Y15" s="106"/>
      <c r="Z15" s="105">
        <f>SUM(R15:X15)</f>
        <v>5675948171</v>
      </c>
      <c r="AA15" s="106"/>
      <c r="AB15" s="105">
        <f>SUM(F15:X15)</f>
        <v>10632575624</v>
      </c>
      <c r="AC15" s="106"/>
      <c r="AD15" s="105">
        <v>119537449</v>
      </c>
      <c r="AE15" s="106"/>
      <c r="AF15" s="105">
        <f>SUM(AB15:AD15)</f>
        <v>10752113073</v>
      </c>
    </row>
    <row r="16" spans="1:32" ht="14.85" customHeight="1">
      <c r="A16" s="70" t="s">
        <v>206</v>
      </c>
      <c r="C16" s="9"/>
      <c r="D16" s="9"/>
      <c r="E16" s="9"/>
      <c r="F16" s="150">
        <v>0</v>
      </c>
      <c r="G16" s="151"/>
      <c r="H16" s="150">
        <v>0</v>
      </c>
      <c r="I16" s="151"/>
      <c r="J16" s="150">
        <v>0</v>
      </c>
      <c r="K16" s="151"/>
      <c r="L16" s="150">
        <v>0</v>
      </c>
      <c r="M16" s="151"/>
      <c r="N16" s="150">
        <v>0</v>
      </c>
      <c r="O16" s="5"/>
      <c r="P16" s="82">
        <v>-1031757438</v>
      </c>
      <c r="Q16" s="4"/>
      <c r="R16" s="31">
        <v>0</v>
      </c>
      <c r="S16" s="30"/>
      <c r="T16" s="30">
        <v>0</v>
      </c>
      <c r="U16" s="5"/>
      <c r="V16" s="5">
        <v>0</v>
      </c>
      <c r="W16" s="5"/>
      <c r="X16" s="5">
        <v>0</v>
      </c>
      <c r="Y16" s="5"/>
      <c r="Z16" s="5">
        <f t="shared" ref="Z16:Z23" si="0">SUM(R16:X16)</f>
        <v>0</v>
      </c>
      <c r="AA16" s="6"/>
      <c r="AB16" s="5">
        <f t="shared" ref="AB16:AB23" si="1">SUM(F16:X16)</f>
        <v>-1031757438</v>
      </c>
      <c r="AC16" s="4"/>
      <c r="AD16" s="82">
        <v>1043598</v>
      </c>
      <c r="AE16" s="4"/>
      <c r="AF16" s="31">
        <f t="shared" ref="AF16:AF23" si="2">SUM(AB16:AD16)</f>
        <v>-1030713840</v>
      </c>
    </row>
    <row r="17" spans="1:33" ht="14.85" customHeight="1">
      <c r="A17" s="7" t="s">
        <v>212</v>
      </c>
      <c r="C17" s="9"/>
      <c r="D17" s="9"/>
      <c r="E17" s="9"/>
      <c r="F17" s="32">
        <v>0</v>
      </c>
      <c r="G17" s="5"/>
      <c r="H17" s="32">
        <v>0</v>
      </c>
      <c r="I17" s="5"/>
      <c r="J17" s="32">
        <v>0</v>
      </c>
      <c r="K17" s="5"/>
      <c r="L17" s="32">
        <v>0</v>
      </c>
      <c r="M17" s="5"/>
      <c r="N17" s="32">
        <v>0</v>
      </c>
      <c r="O17" s="5"/>
      <c r="P17" s="33">
        <v>0</v>
      </c>
      <c r="Q17" s="4"/>
      <c r="R17" s="33">
        <v>-9059069</v>
      </c>
      <c r="S17" s="30"/>
      <c r="T17" s="32">
        <v>0</v>
      </c>
      <c r="U17" s="5"/>
      <c r="V17" s="33">
        <v>106472478</v>
      </c>
      <c r="W17" s="5"/>
      <c r="X17" s="33">
        <v>5414288</v>
      </c>
      <c r="Y17" s="5"/>
      <c r="Z17" s="34">
        <f t="shared" si="0"/>
        <v>102827697</v>
      </c>
      <c r="AA17" s="6"/>
      <c r="AB17" s="34">
        <f t="shared" si="1"/>
        <v>102827697</v>
      </c>
      <c r="AC17" s="4"/>
      <c r="AD17" s="34">
        <f>-175655+6</f>
        <v>-175649</v>
      </c>
      <c r="AE17" s="4"/>
      <c r="AF17" s="33">
        <f t="shared" si="2"/>
        <v>102652048</v>
      </c>
    </row>
    <row r="18" spans="1:33" ht="14.85" customHeight="1">
      <c r="A18" s="7" t="s">
        <v>227</v>
      </c>
      <c r="E18" s="7"/>
      <c r="F18" s="30">
        <v>0</v>
      </c>
      <c r="G18" s="5"/>
      <c r="H18" s="30">
        <v>0</v>
      </c>
      <c r="I18" s="5"/>
      <c r="J18" s="30">
        <v>0</v>
      </c>
      <c r="K18" s="5"/>
      <c r="L18" s="30">
        <f>SUM(L16:L17)</f>
        <v>0</v>
      </c>
      <c r="M18" s="5"/>
      <c r="N18" s="30">
        <f>SUM(N16:N17)</f>
        <v>0</v>
      </c>
      <c r="O18" s="5"/>
      <c r="P18" s="30">
        <f>SUM(P16:P17)</f>
        <v>-1031757438</v>
      </c>
      <c r="Q18" s="4"/>
      <c r="R18" s="30">
        <f>SUM(R16:R17)</f>
        <v>-9059069</v>
      </c>
      <c r="S18" s="30"/>
      <c r="T18" s="30">
        <f>SUM(T16:T17)</f>
        <v>0</v>
      </c>
      <c r="U18" s="5"/>
      <c r="V18" s="30">
        <f>SUM(V16:V17)</f>
        <v>106472478</v>
      </c>
      <c r="W18" s="5"/>
      <c r="X18" s="30">
        <f>SUM(X16:X17)</f>
        <v>5414288</v>
      </c>
      <c r="Y18" s="5"/>
      <c r="Z18" s="30">
        <f t="shared" si="0"/>
        <v>102827697</v>
      </c>
      <c r="AA18" s="5">
        <v>-475797084</v>
      </c>
      <c r="AB18" s="30">
        <f t="shared" si="1"/>
        <v>-928929741</v>
      </c>
      <c r="AC18" s="4"/>
      <c r="AD18" s="30">
        <f>SUM(AD16:AD17)</f>
        <v>867949</v>
      </c>
      <c r="AE18" s="4"/>
      <c r="AF18" s="30">
        <f t="shared" si="2"/>
        <v>-928061792</v>
      </c>
      <c r="AG18" s="84">
        <f>SUM(AF16:AF17)-AF18</f>
        <v>0</v>
      </c>
    </row>
    <row r="19" spans="1:33" ht="14.85" customHeight="1">
      <c r="A19" s="7" t="s">
        <v>253</v>
      </c>
      <c r="E19" s="7"/>
      <c r="F19" s="30"/>
      <c r="G19" s="5"/>
      <c r="H19" s="30"/>
      <c r="I19" s="5"/>
      <c r="J19" s="30"/>
      <c r="K19" s="5"/>
      <c r="L19" s="30"/>
      <c r="M19" s="5"/>
      <c r="N19" s="30"/>
      <c r="O19" s="5"/>
      <c r="P19" s="30"/>
      <c r="Q19" s="4"/>
      <c r="R19" s="30"/>
      <c r="S19" s="30"/>
      <c r="T19" s="30"/>
      <c r="U19" s="5"/>
      <c r="V19" s="30"/>
      <c r="W19" s="5"/>
      <c r="X19" s="30"/>
      <c r="Y19" s="5"/>
      <c r="Z19" s="30"/>
      <c r="AA19" s="5"/>
      <c r="AB19" s="30"/>
      <c r="AC19" s="4"/>
      <c r="AD19" s="30"/>
      <c r="AE19" s="4"/>
      <c r="AF19" s="30"/>
      <c r="AG19" s="84"/>
    </row>
    <row r="20" spans="1:33" ht="14.85" customHeight="1">
      <c r="A20" s="7" t="s">
        <v>254</v>
      </c>
      <c r="C20" s="9"/>
      <c r="D20" s="9"/>
      <c r="E20" s="9"/>
      <c r="F20" s="5">
        <v>0</v>
      </c>
      <c r="G20" s="5"/>
      <c r="H20" s="5">
        <v>0</v>
      </c>
      <c r="I20" s="5"/>
      <c r="J20" s="5">
        <v>0</v>
      </c>
      <c r="K20" s="5"/>
      <c r="L20" s="5">
        <v>0</v>
      </c>
      <c r="M20" s="5"/>
      <c r="N20" s="5">
        <v>0</v>
      </c>
      <c r="O20" s="5"/>
      <c r="P20" s="5">
        <v>0</v>
      </c>
      <c r="Q20" s="5"/>
      <c r="R20" s="5">
        <v>0</v>
      </c>
      <c r="S20" s="5"/>
      <c r="T20" s="5">
        <v>0</v>
      </c>
      <c r="U20" s="5"/>
      <c r="V20" s="5">
        <v>0</v>
      </c>
      <c r="W20" s="5"/>
      <c r="X20" s="5">
        <v>0</v>
      </c>
      <c r="Y20" s="5"/>
      <c r="Z20" s="5">
        <f t="shared" si="0"/>
        <v>0</v>
      </c>
      <c r="AA20" s="5"/>
      <c r="AB20" s="5">
        <f t="shared" si="1"/>
        <v>0</v>
      </c>
      <c r="AC20" s="6"/>
      <c r="AD20" s="81">
        <f>-2268005</f>
        <v>-2268005</v>
      </c>
      <c r="AE20" s="4"/>
      <c r="AF20" s="5">
        <f>SUM(AB20:AD20)</f>
        <v>-2268005</v>
      </c>
    </row>
    <row r="21" spans="1:33" ht="14.85" customHeight="1">
      <c r="A21" s="70" t="s">
        <v>256</v>
      </c>
      <c r="C21" s="9"/>
      <c r="D21" s="9"/>
      <c r="E21" s="9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6"/>
      <c r="AD21" s="81"/>
      <c r="AE21" s="4"/>
      <c r="AF21" s="5"/>
    </row>
    <row r="22" spans="1:33" s="70" customFormat="1" ht="14.85" customHeight="1">
      <c r="A22" s="70" t="s">
        <v>255</v>
      </c>
      <c r="C22" s="100"/>
      <c r="D22" s="100"/>
      <c r="E22" s="100"/>
      <c r="F22" s="81">
        <v>0</v>
      </c>
      <c r="G22" s="81"/>
      <c r="H22" s="81">
        <v>0</v>
      </c>
      <c r="I22" s="81"/>
      <c r="J22" s="81">
        <v>0</v>
      </c>
      <c r="K22" s="81"/>
      <c r="L22" s="81">
        <v>0</v>
      </c>
      <c r="M22" s="81"/>
      <c r="N22" s="81">
        <v>0</v>
      </c>
      <c r="O22" s="81"/>
      <c r="P22" s="151">
        <f>28172834+5</f>
        <v>28172839</v>
      </c>
      <c r="Q22" s="81"/>
      <c r="R22" s="81">
        <v>0</v>
      </c>
      <c r="S22" s="81"/>
      <c r="T22" s="151">
        <f>-28172834-5</f>
        <v>-28172839</v>
      </c>
      <c r="U22" s="81"/>
      <c r="V22" s="81">
        <v>0</v>
      </c>
      <c r="W22" s="81"/>
      <c r="X22" s="81">
        <v>0</v>
      </c>
      <c r="Y22" s="81"/>
      <c r="Z22" s="81">
        <f t="shared" si="0"/>
        <v>-28172839</v>
      </c>
      <c r="AA22" s="81"/>
      <c r="AB22" s="81">
        <f t="shared" si="1"/>
        <v>0</v>
      </c>
      <c r="AC22" s="101"/>
      <c r="AD22" s="81">
        <v>0</v>
      </c>
      <c r="AE22" s="83"/>
      <c r="AF22" s="81">
        <f t="shared" si="2"/>
        <v>0</v>
      </c>
    </row>
    <row r="23" spans="1:33" ht="14.85" customHeight="1" thickBot="1">
      <c r="A23" s="8" t="s">
        <v>144</v>
      </c>
      <c r="E23" s="7"/>
      <c r="F23" s="12">
        <f>SUM(F18:F22,F15)</f>
        <v>1666827010</v>
      </c>
      <c r="G23" s="4"/>
      <c r="H23" s="12">
        <f>SUM(H18:H22,H15)</f>
        <v>2062460582</v>
      </c>
      <c r="I23" s="4"/>
      <c r="J23" s="12">
        <f>SUM(J18:J22,J15)</f>
        <v>0</v>
      </c>
      <c r="K23" s="4"/>
      <c r="L23" s="12">
        <f>SUM(L18:L22,L15)</f>
        <v>568130588</v>
      </c>
      <c r="M23" s="4"/>
      <c r="N23" s="12">
        <f>SUM(N18:N22,N15)</f>
        <v>211675358</v>
      </c>
      <c r="O23" s="4"/>
      <c r="P23" s="12">
        <f>SUM(P18:P22,P15)</f>
        <v>-556050684</v>
      </c>
      <c r="Q23" s="4"/>
      <c r="R23" s="12">
        <f>SUM(R18:R22,R15)</f>
        <v>115240224</v>
      </c>
      <c r="S23" s="4"/>
      <c r="T23" s="12">
        <f>SUM(T18:T22,T15)</f>
        <v>5450230273</v>
      </c>
      <c r="U23" s="4"/>
      <c r="V23" s="12">
        <f>SUM(V18:V22,V15)</f>
        <v>191925561</v>
      </c>
      <c r="W23" s="4"/>
      <c r="X23" s="12">
        <f>SUM(X18:X22,X15)</f>
        <v>-6793029</v>
      </c>
      <c r="Y23" s="4"/>
      <c r="Z23" s="12">
        <f t="shared" si="0"/>
        <v>5750603029</v>
      </c>
      <c r="AA23" s="4"/>
      <c r="AB23" s="12">
        <f t="shared" si="1"/>
        <v>9703645883</v>
      </c>
      <c r="AC23" s="4"/>
      <c r="AD23" s="12">
        <f>SUM(AD18:AD22,AD15)</f>
        <v>118137393</v>
      </c>
      <c r="AE23" s="4"/>
      <c r="AF23" s="12">
        <f t="shared" si="2"/>
        <v>9821783276</v>
      </c>
    </row>
    <row r="24" spans="1:33" ht="14.85" customHeight="1" thickTop="1">
      <c r="A24" s="8"/>
      <c r="C24" s="9"/>
      <c r="D24" s="102"/>
      <c r="E24" s="103"/>
      <c r="F24" s="5"/>
      <c r="G24" s="4"/>
      <c r="H24" s="5"/>
      <c r="I24" s="4"/>
      <c r="J24" s="5"/>
      <c r="K24" s="4"/>
      <c r="L24" s="5"/>
      <c r="M24" s="4"/>
      <c r="N24" s="5"/>
      <c r="O24" s="4"/>
      <c r="P24" s="5"/>
      <c r="Q24" s="4"/>
      <c r="R24" s="5"/>
      <c r="S24" s="5"/>
      <c r="T24" s="5"/>
      <c r="U24" s="4"/>
      <c r="V24" s="4"/>
      <c r="W24" s="4"/>
      <c r="X24" s="4"/>
      <c r="Y24" s="4"/>
      <c r="Z24" s="5"/>
      <c r="AA24" s="4"/>
      <c r="AB24" s="4"/>
      <c r="AC24" s="4"/>
      <c r="AD24" s="5"/>
      <c r="AE24" s="4"/>
      <c r="AF24" s="104"/>
    </row>
    <row r="25" spans="1:33" ht="14.85" customHeight="1">
      <c r="A25" s="8" t="s">
        <v>232</v>
      </c>
      <c r="C25" s="9"/>
      <c r="E25" s="7"/>
      <c r="F25" s="105">
        <f>F23</f>
        <v>1666827010</v>
      </c>
      <c r="G25" s="105">
        <f t="shared" ref="G25:AA25" si="3">G23</f>
        <v>0</v>
      </c>
      <c r="H25" s="105">
        <f t="shared" si="3"/>
        <v>2062460582</v>
      </c>
      <c r="I25" s="105">
        <f t="shared" si="3"/>
        <v>0</v>
      </c>
      <c r="J25" s="80">
        <v>0</v>
      </c>
      <c r="K25" s="105"/>
      <c r="L25" s="105">
        <f t="shared" si="3"/>
        <v>568130588</v>
      </c>
      <c r="M25" s="105">
        <f t="shared" si="3"/>
        <v>0</v>
      </c>
      <c r="N25" s="105">
        <f t="shared" si="3"/>
        <v>211675358</v>
      </c>
      <c r="O25" s="105">
        <f t="shared" si="3"/>
        <v>0</v>
      </c>
      <c r="P25" s="105">
        <f t="shared" si="3"/>
        <v>-556050684</v>
      </c>
      <c r="Q25" s="105">
        <f t="shared" si="3"/>
        <v>0</v>
      </c>
      <c r="R25" s="105">
        <f t="shared" si="3"/>
        <v>115240224</v>
      </c>
      <c r="S25" s="105">
        <f t="shared" si="3"/>
        <v>0</v>
      </c>
      <c r="T25" s="105">
        <f t="shared" si="3"/>
        <v>5450230273</v>
      </c>
      <c r="U25" s="105">
        <f t="shared" si="3"/>
        <v>0</v>
      </c>
      <c r="V25" s="105">
        <f t="shared" si="3"/>
        <v>191925561</v>
      </c>
      <c r="W25" s="105">
        <f t="shared" si="3"/>
        <v>0</v>
      </c>
      <c r="X25" s="105">
        <f t="shared" si="3"/>
        <v>-6793029</v>
      </c>
      <c r="Y25" s="105">
        <f t="shared" si="3"/>
        <v>0</v>
      </c>
      <c r="Z25" s="105">
        <f t="shared" si="3"/>
        <v>5750603029</v>
      </c>
      <c r="AA25" s="105">
        <f t="shared" si="3"/>
        <v>0</v>
      </c>
      <c r="AB25" s="105">
        <f>SUM(F25:X25)</f>
        <v>9703645883</v>
      </c>
      <c r="AC25" s="106"/>
      <c r="AD25" s="105">
        <f>AD23</f>
        <v>118137393</v>
      </c>
      <c r="AE25" s="106"/>
      <c r="AF25" s="105">
        <f>SUM(AB25:AD25)</f>
        <v>9821783276</v>
      </c>
    </row>
    <row r="26" spans="1:33" s="70" customFormat="1" ht="14.85" customHeight="1">
      <c r="A26" s="70" t="s">
        <v>206</v>
      </c>
      <c r="C26" s="100"/>
      <c r="D26" s="100"/>
      <c r="E26" s="100"/>
      <c r="F26" s="80">
        <v>0</v>
      </c>
      <c r="G26" s="81"/>
      <c r="H26" s="80">
        <v>0</v>
      </c>
      <c r="I26" s="81"/>
      <c r="J26" s="80">
        <v>0</v>
      </c>
      <c r="K26" s="81"/>
      <c r="L26" s="80">
        <v>0</v>
      </c>
      <c r="M26" s="81"/>
      <c r="N26" s="80">
        <v>0</v>
      </c>
      <c r="O26" s="81"/>
      <c r="P26" s="82">
        <f>+pl!D29</f>
        <v>7106270</v>
      </c>
      <c r="Q26" s="83"/>
      <c r="R26" s="82">
        <v>0</v>
      </c>
      <c r="S26" s="80"/>
      <c r="T26" s="80">
        <v>0</v>
      </c>
      <c r="U26" s="81"/>
      <c r="V26" s="81">
        <v>0</v>
      </c>
      <c r="W26" s="81"/>
      <c r="X26" s="81">
        <v>0</v>
      </c>
      <c r="Y26" s="81"/>
      <c r="Z26" s="81">
        <f t="shared" ref="Z26:Z32" si="4">SUM(R26:X26)</f>
        <v>0</v>
      </c>
      <c r="AA26" s="101"/>
      <c r="AB26" s="81">
        <f>SUM(F26:X26)</f>
        <v>7106270</v>
      </c>
      <c r="AC26" s="83"/>
      <c r="AD26" s="82">
        <f>+pl!D30</f>
        <v>-1833708</v>
      </c>
      <c r="AE26" s="83"/>
      <c r="AF26" s="81">
        <f t="shared" ref="AF26:AF33" si="5">SUM(AB26:AD26)</f>
        <v>5272562</v>
      </c>
      <c r="AG26" s="107">
        <f>AF26-pl!D26</f>
        <v>0</v>
      </c>
    </row>
    <row r="27" spans="1:33" ht="14.85" customHeight="1">
      <c r="A27" s="7" t="s">
        <v>212</v>
      </c>
      <c r="C27" s="9"/>
      <c r="D27" s="9"/>
      <c r="E27" s="9"/>
      <c r="F27" s="32">
        <v>0</v>
      </c>
      <c r="G27" s="5"/>
      <c r="H27" s="32">
        <v>0</v>
      </c>
      <c r="I27" s="5"/>
      <c r="J27" s="32">
        <v>0</v>
      </c>
      <c r="K27" s="5"/>
      <c r="L27" s="32">
        <v>0</v>
      </c>
      <c r="M27" s="5"/>
      <c r="N27" s="32">
        <v>0</v>
      </c>
      <c r="O27" s="5"/>
      <c r="P27" s="33">
        <v>0</v>
      </c>
      <c r="Q27" s="5"/>
      <c r="R27" s="33">
        <v>9029264</v>
      </c>
      <c r="S27" s="5"/>
      <c r="T27" s="33">
        <v>0</v>
      </c>
      <c r="U27" s="5"/>
      <c r="V27" s="33">
        <f>+pl!D59</f>
        <v>15117318</v>
      </c>
      <c r="W27" s="5"/>
      <c r="X27" s="33">
        <v>-3932685</v>
      </c>
      <c r="Y27" s="5"/>
      <c r="Z27" s="34">
        <f>SUM(R27:X27)</f>
        <v>20213897</v>
      </c>
      <c r="AA27" s="5"/>
      <c r="AB27" s="34">
        <f>SUM(F27:X27)</f>
        <v>20213897</v>
      </c>
      <c r="AC27" s="5"/>
      <c r="AD27" s="34">
        <v>1208017</v>
      </c>
      <c r="AE27" s="5"/>
      <c r="AF27" s="34">
        <f t="shared" si="5"/>
        <v>21421914</v>
      </c>
      <c r="AG27" s="84">
        <f>AF27-pl!D63</f>
        <v>0</v>
      </c>
    </row>
    <row r="28" spans="1:33" ht="14.85" customHeight="1">
      <c r="A28" s="7" t="s">
        <v>213</v>
      </c>
      <c r="E28" s="7"/>
      <c r="F28" s="30">
        <f>SUM(F26:F27)</f>
        <v>0</v>
      </c>
      <c r="G28" s="5"/>
      <c r="H28" s="30">
        <f>SUM(H26:H27)</f>
        <v>0</v>
      </c>
      <c r="I28" s="5"/>
      <c r="J28" s="30">
        <f>SUM(J26:J27)</f>
        <v>0</v>
      </c>
      <c r="K28" s="5"/>
      <c r="L28" s="30">
        <f>SUM(L26:L27)</f>
        <v>0</v>
      </c>
      <c r="M28" s="5"/>
      <c r="N28" s="30">
        <f>SUM(N26:N27)</f>
        <v>0</v>
      </c>
      <c r="O28" s="5"/>
      <c r="P28" s="30">
        <f>SUM(P26:P27)</f>
        <v>7106270</v>
      </c>
      <c r="Q28" s="30"/>
      <c r="R28" s="30">
        <f>SUM(R26:R27)</f>
        <v>9029264</v>
      </c>
      <c r="S28" s="30"/>
      <c r="T28" s="30">
        <f>SUM(T26:T27)</f>
        <v>0</v>
      </c>
      <c r="U28" s="30"/>
      <c r="V28" s="30">
        <f>SUM(V26:V27)</f>
        <v>15117318</v>
      </c>
      <c r="W28" s="30"/>
      <c r="X28" s="30">
        <f>SUM(X26:X27)</f>
        <v>-3932685</v>
      </c>
      <c r="Y28" s="30"/>
      <c r="Z28" s="30">
        <f t="shared" si="4"/>
        <v>20213897</v>
      </c>
      <c r="AA28" s="30"/>
      <c r="AB28" s="30">
        <f>SUM(F28:X28)</f>
        <v>27320167</v>
      </c>
      <c r="AC28" s="30"/>
      <c r="AD28" s="30">
        <f>SUM(AD26:AD27)</f>
        <v>-625691</v>
      </c>
      <c r="AE28" s="30"/>
      <c r="AF28" s="30">
        <f>SUM(AB28:AD28)</f>
        <v>26694476</v>
      </c>
      <c r="AG28" s="84">
        <f>SUM(AF26:AF27)-AF28</f>
        <v>0</v>
      </c>
    </row>
    <row r="29" spans="1:33" ht="14.85" customHeight="1">
      <c r="A29" s="7" t="s">
        <v>240</v>
      </c>
      <c r="B29" s="69"/>
      <c r="C29" s="69"/>
      <c r="D29" s="9"/>
      <c r="E29" s="9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6"/>
      <c r="AD29" s="5"/>
      <c r="AE29" s="4"/>
      <c r="AF29" s="5"/>
    </row>
    <row r="30" spans="1:33" ht="14.85" customHeight="1">
      <c r="A30" s="7" t="s">
        <v>242</v>
      </c>
      <c r="B30" s="69"/>
      <c r="C30" s="69"/>
      <c r="D30" s="9"/>
      <c r="E30" s="9"/>
      <c r="F30" s="5">
        <v>0</v>
      </c>
      <c r="G30" s="5"/>
      <c r="H30" s="5">
        <v>0</v>
      </c>
      <c r="I30" s="5"/>
      <c r="J30" s="5">
        <v>-7372391</v>
      </c>
      <c r="K30" s="5"/>
      <c r="L30" s="5">
        <v>0</v>
      </c>
      <c r="M30" s="5"/>
      <c r="N30" s="5">
        <v>0</v>
      </c>
      <c r="O30" s="5"/>
      <c r="P30" s="5">
        <v>0</v>
      </c>
      <c r="Q30" s="5"/>
      <c r="R30" s="5">
        <v>0</v>
      </c>
      <c r="S30" s="5"/>
      <c r="T30" s="5">
        <v>0</v>
      </c>
      <c r="U30" s="5"/>
      <c r="V30" s="5">
        <v>0</v>
      </c>
      <c r="W30" s="5"/>
      <c r="X30" s="5">
        <v>0</v>
      </c>
      <c r="Y30" s="5"/>
      <c r="Z30" s="5">
        <v>0</v>
      </c>
      <c r="AA30" s="5"/>
      <c r="AB30" s="5">
        <f>SUM(F30:P30)</f>
        <v>-7372391</v>
      </c>
      <c r="AC30" s="6"/>
      <c r="AD30" s="5">
        <f>-AB30</f>
        <v>7372391</v>
      </c>
      <c r="AE30" s="4"/>
      <c r="AF30" s="5">
        <f t="shared" si="5"/>
        <v>0</v>
      </c>
    </row>
    <row r="31" spans="1:33" ht="14.85" customHeight="1">
      <c r="A31" s="70" t="s">
        <v>256</v>
      </c>
      <c r="B31" s="69"/>
      <c r="C31" s="69"/>
      <c r="D31" s="9"/>
      <c r="E31" s="9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6"/>
      <c r="AD31" s="5"/>
      <c r="AE31" s="4"/>
      <c r="AF31" s="5"/>
    </row>
    <row r="32" spans="1:33" s="70" customFormat="1" ht="14.85" customHeight="1">
      <c r="A32" s="70" t="s">
        <v>255</v>
      </c>
      <c r="C32" s="100"/>
      <c r="D32" s="100"/>
      <c r="E32" s="100"/>
      <c r="F32" s="81">
        <v>0</v>
      </c>
      <c r="G32" s="81"/>
      <c r="H32" s="81">
        <v>0</v>
      </c>
      <c r="I32" s="81"/>
      <c r="J32" s="81">
        <v>0</v>
      </c>
      <c r="K32" s="81"/>
      <c r="L32" s="81">
        <v>0</v>
      </c>
      <c r="M32" s="81"/>
      <c r="N32" s="81">
        <v>0</v>
      </c>
      <c r="O32" s="81"/>
      <c r="P32" s="81">
        <v>55041411</v>
      </c>
      <c r="Q32" s="81"/>
      <c r="R32" s="81">
        <v>0</v>
      </c>
      <c r="S32" s="81"/>
      <c r="T32" s="81">
        <f>-P32</f>
        <v>-55041411</v>
      </c>
      <c r="U32" s="81"/>
      <c r="V32" s="81">
        <v>0</v>
      </c>
      <c r="W32" s="81"/>
      <c r="X32" s="81">
        <v>0</v>
      </c>
      <c r="Y32" s="81"/>
      <c r="Z32" s="5">
        <f t="shared" si="4"/>
        <v>-55041411</v>
      </c>
      <c r="AA32" s="81"/>
      <c r="AB32" s="5">
        <f>SUM(F32:X32)</f>
        <v>0</v>
      </c>
      <c r="AC32" s="101"/>
      <c r="AD32" s="81">
        <v>0</v>
      </c>
      <c r="AE32" s="83"/>
      <c r="AF32" s="5">
        <f t="shared" si="5"/>
        <v>0</v>
      </c>
    </row>
    <row r="33" spans="1:33" ht="14.85" customHeight="1" thickBot="1">
      <c r="A33" s="8" t="s">
        <v>233</v>
      </c>
      <c r="E33" s="7"/>
      <c r="F33" s="12">
        <f>SUM(F25,F28:F32)</f>
        <v>1666827010</v>
      </c>
      <c r="G33" s="4"/>
      <c r="H33" s="12">
        <f>SUM(H25,H28:H32)</f>
        <v>2062460582</v>
      </c>
      <c r="I33" s="4"/>
      <c r="J33" s="12">
        <f>SUM(J25,J28:J32)</f>
        <v>-7372391</v>
      </c>
      <c r="K33" s="4"/>
      <c r="L33" s="12">
        <f>SUM(L25,L28:L32)</f>
        <v>568130588</v>
      </c>
      <c r="M33" s="4"/>
      <c r="N33" s="12">
        <f>SUM(N25,N28:N32)</f>
        <v>211675358</v>
      </c>
      <c r="O33" s="4"/>
      <c r="P33" s="12">
        <f>SUM(P25,P28:P32)</f>
        <v>-493903003</v>
      </c>
      <c r="Q33" s="4"/>
      <c r="R33" s="12">
        <f>SUM(R25,R28:R32)</f>
        <v>124269488</v>
      </c>
      <c r="S33" s="5"/>
      <c r="T33" s="12">
        <f>SUM(T25,T28:T32)</f>
        <v>5395188862</v>
      </c>
      <c r="U33" s="4"/>
      <c r="V33" s="12">
        <f>SUM(V25,V28:V32)</f>
        <v>207042879</v>
      </c>
      <c r="W33" s="4"/>
      <c r="X33" s="12">
        <f>SUM(X25,X28:X32)</f>
        <v>-10725714</v>
      </c>
      <c r="Y33" s="4"/>
      <c r="Z33" s="12">
        <f>SUM(R33:X33)</f>
        <v>5715775515</v>
      </c>
      <c r="AA33" s="4"/>
      <c r="AB33" s="12">
        <f>SUM(F33:X33)</f>
        <v>9723593659</v>
      </c>
      <c r="AC33" s="4"/>
      <c r="AD33" s="12">
        <f>SUM(AD25,AD28:AD32)</f>
        <v>124884093</v>
      </c>
      <c r="AE33" s="4"/>
      <c r="AF33" s="12">
        <f t="shared" si="5"/>
        <v>9848477752</v>
      </c>
      <c r="AG33" s="84">
        <f>SUM(AF28:AF32,AF25)-AF33</f>
        <v>0</v>
      </c>
    </row>
    <row r="34" spans="1:33" ht="14.85" customHeight="1" thickTop="1">
      <c r="A34" s="8"/>
      <c r="E34" s="7"/>
      <c r="F34" s="5">
        <f>F23-bs!F78</f>
        <v>0</v>
      </c>
      <c r="G34" s="4"/>
      <c r="H34" s="5">
        <f>H23-bs!F79</f>
        <v>0</v>
      </c>
      <c r="I34" s="4"/>
      <c r="J34" s="5"/>
      <c r="K34" s="4"/>
      <c r="L34" s="5">
        <f>L23-bs!F82</f>
        <v>0</v>
      </c>
      <c r="M34" s="4"/>
      <c r="N34" s="5">
        <f>N23-bs!F84</f>
        <v>0</v>
      </c>
      <c r="O34" s="4"/>
      <c r="P34" s="5">
        <f>P23-bs!F85</f>
        <v>0</v>
      </c>
      <c r="Q34" s="4"/>
      <c r="R34" s="5"/>
      <c r="S34" s="5"/>
      <c r="T34" s="5"/>
      <c r="U34" s="4"/>
      <c r="V34" s="5"/>
      <c r="W34" s="4"/>
      <c r="X34" s="5"/>
      <c r="Y34" s="4"/>
      <c r="Z34" s="5">
        <f>Z23-bs!F86</f>
        <v>0</v>
      </c>
      <c r="AA34" s="4"/>
      <c r="AB34" s="5">
        <f>AB23-bs!F87</f>
        <v>0</v>
      </c>
      <c r="AC34" s="4"/>
      <c r="AD34" s="5">
        <f>AD23-bs!F89</f>
        <v>0</v>
      </c>
      <c r="AE34" s="4"/>
      <c r="AF34" s="5">
        <f>AF23-bs!F90</f>
        <v>0</v>
      </c>
    </row>
    <row r="35" spans="1:33" ht="14.65" customHeight="1">
      <c r="E35" s="7"/>
      <c r="F35" s="5">
        <f>bs!D78-F33</f>
        <v>0</v>
      </c>
      <c r="G35" s="4"/>
      <c r="H35" s="5">
        <f>H33-bs!D79</f>
        <v>0</v>
      </c>
      <c r="I35" s="4"/>
      <c r="J35" s="5">
        <f>+J33-bs!D81</f>
        <v>0</v>
      </c>
      <c r="K35" s="4"/>
      <c r="L35" s="5">
        <f>L33-bs!D82</f>
        <v>0</v>
      </c>
      <c r="M35" s="4"/>
      <c r="N35" s="5">
        <f>N33-bs!D84</f>
        <v>0</v>
      </c>
      <c r="O35" s="4"/>
      <c r="P35" s="5">
        <f>SUM(P33-bs!D85)</f>
        <v>0</v>
      </c>
      <c r="Q35" s="4"/>
      <c r="R35" s="5"/>
      <c r="S35" s="5"/>
      <c r="T35" s="5"/>
      <c r="U35" s="4"/>
      <c r="V35" s="4"/>
      <c r="W35" s="4"/>
      <c r="X35" s="4"/>
      <c r="Y35" s="4"/>
      <c r="Z35" s="5">
        <f>Z33-bs!D86</f>
        <v>0</v>
      </c>
      <c r="AA35" s="4"/>
      <c r="AB35" s="5">
        <f>AB33-bs!D87</f>
        <v>0</v>
      </c>
      <c r="AC35" s="4"/>
      <c r="AD35" s="5">
        <f>AD33-bs!D89</f>
        <v>0</v>
      </c>
      <c r="AE35" s="4"/>
      <c r="AF35" s="5">
        <f>AF33-bs!D90</f>
        <v>0</v>
      </c>
    </row>
    <row r="36" spans="1:33" ht="14.85" customHeight="1">
      <c r="A36" s="7" t="s">
        <v>18</v>
      </c>
      <c r="E36" s="7"/>
      <c r="F36" s="5"/>
      <c r="G36" s="4"/>
      <c r="H36" s="5"/>
      <c r="I36" s="4"/>
      <c r="J36" s="4"/>
      <c r="K36" s="4"/>
      <c r="L36" s="5"/>
      <c r="M36" s="4"/>
      <c r="N36" s="5"/>
      <c r="O36" s="4"/>
      <c r="P36" s="5"/>
      <c r="Q36" s="4"/>
      <c r="R36" s="5"/>
      <c r="S36" s="5"/>
      <c r="T36" s="5"/>
      <c r="U36" s="4"/>
      <c r="V36" s="4"/>
      <c r="W36" s="4"/>
      <c r="X36" s="4"/>
      <c r="Y36" s="4"/>
      <c r="Z36" s="5"/>
      <c r="AA36" s="4"/>
      <c r="AB36" s="5"/>
      <c r="AC36" s="4"/>
      <c r="AD36" s="5"/>
      <c r="AE36" s="4"/>
      <c r="AF36" s="5"/>
    </row>
    <row r="37" spans="1:33" ht="14.85" customHeight="1">
      <c r="E37" s="7"/>
      <c r="F37" s="5"/>
      <c r="G37" s="4"/>
      <c r="H37" s="5"/>
      <c r="I37" s="4"/>
      <c r="J37" s="4"/>
      <c r="K37" s="4"/>
      <c r="L37" s="5"/>
      <c r="M37" s="4"/>
      <c r="N37" s="5"/>
      <c r="O37" s="4"/>
      <c r="P37" s="5"/>
      <c r="Q37" s="4"/>
      <c r="R37" s="5"/>
      <c r="S37" s="5"/>
      <c r="T37" s="5"/>
      <c r="U37" s="4"/>
      <c r="V37" s="4"/>
      <c r="W37" s="4"/>
      <c r="X37" s="4"/>
      <c r="Y37" s="4"/>
      <c r="Z37" s="5"/>
      <c r="AA37" s="4"/>
      <c r="AB37" s="5"/>
      <c r="AC37" s="4"/>
      <c r="AD37" s="5"/>
      <c r="AE37" s="4"/>
      <c r="AF37" s="5"/>
    </row>
    <row r="38" spans="1:33" ht="14.85" customHeight="1">
      <c r="P38" s="84">
        <f>P26-pl!D29</f>
        <v>0</v>
      </c>
      <c r="R38" s="84"/>
      <c r="V38" s="103">
        <f>V27-pl!D59</f>
        <v>0</v>
      </c>
      <c r="X38" s="103">
        <f>X27-SUM(pl!D52+pl!D60)</f>
        <v>0</v>
      </c>
      <c r="AD38" s="84">
        <f>AD26-pl!D30</f>
        <v>0</v>
      </c>
    </row>
    <row r="39" spans="1:33" ht="14.85" customHeight="1">
      <c r="P39" s="84"/>
      <c r="AB39" s="103">
        <f>AB28-pl!D68</f>
        <v>0</v>
      </c>
      <c r="AD39" s="84">
        <f>AD28-pl!D69</f>
        <v>0</v>
      </c>
    </row>
  </sheetData>
  <mergeCells count="5">
    <mergeCell ref="N12:P12"/>
    <mergeCell ref="R8:X8"/>
    <mergeCell ref="F5:AF5"/>
    <mergeCell ref="F6:AB6"/>
    <mergeCell ref="R7:Z7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24"/>
  <sheetViews>
    <sheetView showGridLines="0" tabSelected="1" topLeftCell="A4" zoomScale="115" zoomScaleNormal="115" zoomScaleSheetLayoutView="115" workbookViewId="0">
      <selection activeCell="F58" sqref="F58"/>
    </sheetView>
  </sheetViews>
  <sheetFormatPr defaultColWidth="9.28515625" defaultRowHeight="18.75" customHeight="1"/>
  <cols>
    <col min="1" max="1" width="17" style="16" customWidth="1"/>
    <col min="2" max="3" width="5.7109375" style="16" customWidth="1"/>
    <col min="4" max="4" width="9" style="16" customWidth="1"/>
    <col min="5" max="5" width="1.28515625" style="17" customWidth="1"/>
    <col min="6" max="6" width="15.7109375" style="16" customWidth="1"/>
    <col min="7" max="7" width="1.28515625" style="17" customWidth="1"/>
    <col min="8" max="8" width="15.7109375" style="16" customWidth="1"/>
    <col min="9" max="9" width="1.28515625" style="17" customWidth="1"/>
    <col min="10" max="10" width="15.7109375" style="16" customWidth="1"/>
    <col min="11" max="11" width="1.28515625" style="16" customWidth="1"/>
    <col min="12" max="12" width="15.7109375" style="16" customWidth="1"/>
    <col min="13" max="13" width="1.28515625" style="17" customWidth="1"/>
    <col min="14" max="14" width="15.7109375" style="16" customWidth="1"/>
    <col min="15" max="15" width="1.28515625" style="16" customWidth="1"/>
    <col min="16" max="16" width="15.7109375" style="17" customWidth="1"/>
    <col min="17" max="17" width="1.28515625" style="17" customWidth="1"/>
    <col min="18" max="18" width="15.7109375" style="16" customWidth="1"/>
    <col min="19" max="19" width="1.7109375" style="16" customWidth="1"/>
    <col min="20" max="20" width="11.5703125" style="16" bestFit="1" customWidth="1"/>
    <col min="21" max="16384" width="9.28515625" style="16"/>
  </cols>
  <sheetData>
    <row r="1" spans="1:20" s="13" customFormat="1" ht="18.75" customHeight="1">
      <c r="A1" s="13" t="s">
        <v>0</v>
      </c>
      <c r="P1" s="14"/>
      <c r="Q1" s="14"/>
      <c r="R1" s="15"/>
    </row>
    <row r="2" spans="1:20" s="13" customFormat="1" ht="18.75" customHeight="1">
      <c r="A2" s="13" t="s">
        <v>93</v>
      </c>
      <c r="P2" s="14"/>
      <c r="Q2" s="14"/>
    </row>
    <row r="3" spans="1:20" s="13" customFormat="1" ht="18.75" customHeight="1">
      <c r="A3" s="13" t="s">
        <v>234</v>
      </c>
      <c r="P3" s="14"/>
      <c r="Q3" s="14"/>
    </row>
    <row r="4" spans="1:20" ht="18.75" customHeight="1">
      <c r="N4" s="15"/>
      <c r="O4" s="15"/>
      <c r="P4" s="18"/>
      <c r="Q4" s="18"/>
      <c r="R4" s="15" t="s">
        <v>1</v>
      </c>
      <c r="T4" s="96"/>
    </row>
    <row r="5" spans="1:20" ht="18.75" customHeight="1">
      <c r="D5" s="19"/>
      <c r="E5" s="19"/>
      <c r="F5" s="169" t="s">
        <v>3</v>
      </c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9"/>
      <c r="T5" s="19"/>
    </row>
    <row r="6" spans="1:20" ht="18.75" customHeight="1">
      <c r="D6" s="19"/>
      <c r="E6" s="19"/>
      <c r="F6" s="17"/>
      <c r="H6" s="17"/>
      <c r="J6" s="17"/>
      <c r="K6" s="17"/>
      <c r="L6" s="17"/>
      <c r="N6" s="171" t="s">
        <v>107</v>
      </c>
      <c r="O6" s="171"/>
      <c r="P6" s="171"/>
      <c r="Q6" s="20"/>
      <c r="R6" s="17"/>
      <c r="S6" s="19"/>
      <c r="T6" s="19"/>
    </row>
    <row r="7" spans="1:20" ht="18.75" customHeight="1">
      <c r="D7" s="19"/>
      <c r="E7" s="19"/>
      <c r="F7" s="17"/>
      <c r="H7" s="17"/>
      <c r="J7" s="17"/>
      <c r="K7" s="17"/>
      <c r="L7" s="17"/>
      <c r="N7" s="21" t="s">
        <v>215</v>
      </c>
      <c r="O7" s="21"/>
      <c r="P7" s="22" t="s">
        <v>78</v>
      </c>
      <c r="Q7" s="20"/>
      <c r="R7" s="17"/>
      <c r="S7" s="19"/>
      <c r="T7" s="19"/>
    </row>
    <row r="8" spans="1:20" s="21" customFormat="1" ht="18.75" customHeight="1">
      <c r="F8" s="21" t="s">
        <v>51</v>
      </c>
      <c r="G8" s="19"/>
      <c r="I8" s="19"/>
      <c r="J8" s="170" t="s">
        <v>37</v>
      </c>
      <c r="K8" s="170"/>
      <c r="L8" s="170"/>
      <c r="M8" s="19"/>
      <c r="N8" s="118" t="s">
        <v>140</v>
      </c>
      <c r="P8" s="19" t="s">
        <v>110</v>
      </c>
      <c r="Q8" s="20"/>
      <c r="R8" s="19" t="s">
        <v>57</v>
      </c>
    </row>
    <row r="9" spans="1:20" s="21" customFormat="1" ht="18.75" customHeight="1">
      <c r="F9" s="19" t="s">
        <v>52</v>
      </c>
      <c r="G9" s="19"/>
      <c r="I9" s="19"/>
      <c r="J9" s="21" t="s">
        <v>54</v>
      </c>
      <c r="K9" s="19"/>
      <c r="M9" s="19"/>
      <c r="N9" s="21" t="s">
        <v>109</v>
      </c>
      <c r="P9" s="19" t="s">
        <v>84</v>
      </c>
      <c r="Q9" s="20"/>
      <c r="R9" s="19" t="s">
        <v>84</v>
      </c>
    </row>
    <row r="10" spans="1:20" s="21" customFormat="1" ht="18.75" customHeight="1">
      <c r="C10" s="19"/>
      <c r="D10" s="19"/>
      <c r="F10" s="118" t="s">
        <v>55</v>
      </c>
      <c r="G10" s="19"/>
      <c r="H10" s="118" t="s">
        <v>35</v>
      </c>
      <c r="I10" s="19"/>
      <c r="J10" s="118" t="s">
        <v>61</v>
      </c>
      <c r="K10" s="19"/>
      <c r="L10" s="118" t="s">
        <v>56</v>
      </c>
      <c r="M10" s="19"/>
      <c r="N10" s="147" t="s">
        <v>216</v>
      </c>
      <c r="O10" s="19"/>
      <c r="P10" s="118" t="s">
        <v>88</v>
      </c>
      <c r="Q10" s="20"/>
      <c r="R10" s="118" t="s">
        <v>88</v>
      </c>
    </row>
    <row r="11" spans="1:20" ht="18.75" customHeight="1">
      <c r="A11" s="13" t="s">
        <v>143</v>
      </c>
      <c r="B11" s="13"/>
      <c r="F11" s="148">
        <v>1666827010</v>
      </c>
      <c r="G11" s="149"/>
      <c r="H11" s="148">
        <v>2062460582</v>
      </c>
      <c r="I11" s="149"/>
      <c r="J11" s="148">
        <v>211675358</v>
      </c>
      <c r="K11" s="149"/>
      <c r="L11" s="148">
        <v>367017677</v>
      </c>
      <c r="M11" s="149"/>
      <c r="N11" s="148">
        <v>141313392</v>
      </c>
      <c r="O11" s="149"/>
      <c r="P11" s="148">
        <v>141313392</v>
      </c>
      <c r="Q11" s="148"/>
      <c r="R11" s="148">
        <f>SUM(F11:L11,P11)</f>
        <v>4449294019</v>
      </c>
    </row>
    <row r="12" spans="1:20" ht="18.75" customHeight="1">
      <c r="A12" s="71" t="s">
        <v>136</v>
      </c>
      <c r="F12" s="2">
        <v>0</v>
      </c>
      <c r="G12" s="1"/>
      <c r="H12" s="2">
        <v>0</v>
      </c>
      <c r="I12" s="1"/>
      <c r="J12" s="2">
        <v>0</v>
      </c>
      <c r="K12" s="1"/>
      <c r="L12" s="2">
        <v>-69665753</v>
      </c>
      <c r="M12" s="1"/>
      <c r="N12" s="2">
        <v>0</v>
      </c>
      <c r="O12" s="1"/>
      <c r="P12" s="2">
        <f>SUM(N12)</f>
        <v>0</v>
      </c>
      <c r="Q12" s="2"/>
      <c r="R12" s="2">
        <f>SUM(F12:L12,P12)</f>
        <v>-69665753</v>
      </c>
    </row>
    <row r="13" spans="1:20" ht="18.75" customHeight="1">
      <c r="A13" s="16" t="s">
        <v>250</v>
      </c>
      <c r="F13" s="23">
        <v>0</v>
      </c>
      <c r="G13" s="1"/>
      <c r="H13" s="23">
        <v>0</v>
      </c>
      <c r="I13" s="1"/>
      <c r="J13" s="23">
        <v>0</v>
      </c>
      <c r="K13" s="1"/>
      <c r="L13" s="23">
        <v>0</v>
      </c>
      <c r="M13" s="1"/>
      <c r="N13" s="23">
        <v>0</v>
      </c>
      <c r="O13" s="1"/>
      <c r="P13" s="3">
        <f>SUM(N13)</f>
        <v>0</v>
      </c>
      <c r="Q13" s="24"/>
      <c r="R13" s="3">
        <f>SUM(F13:L13,P13)</f>
        <v>0</v>
      </c>
    </row>
    <row r="14" spans="1:20" ht="18.75" customHeight="1">
      <c r="A14" s="16" t="s">
        <v>227</v>
      </c>
      <c r="F14" s="24">
        <f>SUM(F12:F13)</f>
        <v>0</v>
      </c>
      <c r="G14" s="1"/>
      <c r="H14" s="24">
        <f>SUM(H12:H13)</f>
        <v>0</v>
      </c>
      <c r="I14" s="1"/>
      <c r="J14" s="24">
        <f>SUM(J12:J13)</f>
        <v>0</v>
      </c>
      <c r="K14" s="1"/>
      <c r="L14" s="24">
        <f>SUM(L12:L13)</f>
        <v>-69665753</v>
      </c>
      <c r="M14" s="1"/>
      <c r="N14" s="24">
        <f>SUM(N12:N13)</f>
        <v>0</v>
      </c>
      <c r="O14" s="1"/>
      <c r="P14" s="24">
        <f>SUM(P12:P13)</f>
        <v>0</v>
      </c>
      <c r="Q14" s="24"/>
      <c r="R14" s="24">
        <f>SUM(R12:R13)</f>
        <v>-69665753</v>
      </c>
    </row>
    <row r="15" spans="1:20" ht="18.75" customHeight="1" thickBot="1">
      <c r="A15" s="13" t="s">
        <v>144</v>
      </c>
      <c r="F15" s="25">
        <f>SUM(F11,F14:F14)</f>
        <v>1666827010</v>
      </c>
      <c r="G15" s="1"/>
      <c r="H15" s="25">
        <f>SUM(H11,H14:H14)</f>
        <v>2062460582</v>
      </c>
      <c r="I15" s="1"/>
      <c r="J15" s="25">
        <f>SUM(J11,J14:J14)</f>
        <v>211675358</v>
      </c>
      <c r="K15" s="1"/>
      <c r="L15" s="25">
        <f>SUM(L11,L14:L14)</f>
        <v>297351924</v>
      </c>
      <c r="M15" s="1"/>
      <c r="N15" s="25">
        <f>SUM(N11,N14:N14)</f>
        <v>141313392</v>
      </c>
      <c r="O15" s="1"/>
      <c r="P15" s="25">
        <f>SUM(P11,P14:P14)</f>
        <v>141313392</v>
      </c>
      <c r="Q15" s="2"/>
      <c r="R15" s="25">
        <f>SUM(R11,R14:R14)</f>
        <v>4379628266</v>
      </c>
    </row>
    <row r="16" spans="1:20" ht="18.75" customHeight="1" thickTop="1"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7"/>
      <c r="R16" s="26"/>
    </row>
    <row r="17" spans="1:20" ht="18.75" customHeight="1">
      <c r="A17" s="13" t="s">
        <v>232</v>
      </c>
      <c r="B17" s="13"/>
      <c r="F17" s="2">
        <f>F15</f>
        <v>1666827010</v>
      </c>
      <c r="G17" s="2">
        <f t="shared" ref="G17:P17" si="0">G15</f>
        <v>0</v>
      </c>
      <c r="H17" s="2">
        <f t="shared" si="0"/>
        <v>2062460582</v>
      </c>
      <c r="I17" s="2">
        <f t="shared" si="0"/>
        <v>0</v>
      </c>
      <c r="J17" s="2">
        <f t="shared" si="0"/>
        <v>211675358</v>
      </c>
      <c r="K17" s="2">
        <f t="shared" si="0"/>
        <v>0</v>
      </c>
      <c r="L17" s="2">
        <f t="shared" si="0"/>
        <v>297351924</v>
      </c>
      <c r="M17" s="2">
        <f t="shared" si="0"/>
        <v>0</v>
      </c>
      <c r="N17" s="2">
        <f t="shared" si="0"/>
        <v>141313392</v>
      </c>
      <c r="O17" s="2">
        <f t="shared" si="0"/>
        <v>0</v>
      </c>
      <c r="P17" s="2">
        <f t="shared" si="0"/>
        <v>141313392</v>
      </c>
      <c r="Q17" s="2"/>
      <c r="R17" s="2">
        <f>SUM(F17:L17,P17)</f>
        <v>4379628266</v>
      </c>
    </row>
    <row r="18" spans="1:20" ht="18.75" customHeight="1">
      <c r="A18" s="71" t="s">
        <v>136</v>
      </c>
      <c r="F18" s="2">
        <v>0</v>
      </c>
      <c r="G18" s="1"/>
      <c r="H18" s="2">
        <v>0</v>
      </c>
      <c r="I18" s="1"/>
      <c r="J18" s="2">
        <v>0</v>
      </c>
      <c r="K18" s="1"/>
      <c r="L18" s="2">
        <f>pl!H26</f>
        <v>-95617651</v>
      </c>
      <c r="M18" s="1"/>
      <c r="N18" s="2">
        <v>0</v>
      </c>
      <c r="O18" s="1"/>
      <c r="P18" s="2">
        <f>SUM(N18)</f>
        <v>0</v>
      </c>
      <c r="Q18" s="2"/>
      <c r="R18" s="2">
        <f>SUM(F18:L18,P18)</f>
        <v>-95617651</v>
      </c>
    </row>
    <row r="19" spans="1:20" ht="18.75" customHeight="1">
      <c r="A19" s="16" t="s">
        <v>250</v>
      </c>
      <c r="F19" s="3">
        <v>0</v>
      </c>
      <c r="G19" s="1"/>
      <c r="H19" s="3">
        <v>0</v>
      </c>
      <c r="I19" s="1"/>
      <c r="J19" s="3">
        <v>0</v>
      </c>
      <c r="K19" s="1"/>
      <c r="L19" s="3">
        <v>0</v>
      </c>
      <c r="M19" s="1"/>
      <c r="N19" s="3">
        <v>0</v>
      </c>
      <c r="O19" s="1"/>
      <c r="P19" s="3">
        <f>SUM(N19:O19)</f>
        <v>0</v>
      </c>
      <c r="Q19" s="2"/>
      <c r="R19" s="3">
        <f>SUM(F19:L19,P19)</f>
        <v>0</v>
      </c>
    </row>
    <row r="20" spans="1:20" ht="18.75" customHeight="1">
      <c r="A20" s="16" t="s">
        <v>227</v>
      </c>
      <c r="F20" s="24">
        <f>SUM(F18:F19)</f>
        <v>0</v>
      </c>
      <c r="G20" s="1"/>
      <c r="H20" s="24">
        <f>SUM(H18:H19)</f>
        <v>0</v>
      </c>
      <c r="I20" s="1"/>
      <c r="J20" s="24">
        <f>SUM(J18:J19)</f>
        <v>0</v>
      </c>
      <c r="K20" s="1"/>
      <c r="L20" s="24">
        <f>SUM(L18:L19)</f>
        <v>-95617651</v>
      </c>
      <c r="M20" s="1"/>
      <c r="N20" s="24">
        <f>SUM(N18:N19)</f>
        <v>0</v>
      </c>
      <c r="O20" s="1"/>
      <c r="P20" s="24">
        <f>SUM(P18:P19)</f>
        <v>0</v>
      </c>
      <c r="Q20" s="24"/>
      <c r="R20" s="24">
        <f>SUM(R18:R19)</f>
        <v>-95617651</v>
      </c>
      <c r="T20" s="26"/>
    </row>
    <row r="21" spans="1:20" ht="18.75" customHeight="1" thickBot="1">
      <c r="A21" s="13" t="s">
        <v>233</v>
      </c>
      <c r="F21" s="25">
        <f>SUM(F20,F17)</f>
        <v>1666827010</v>
      </c>
      <c r="G21" s="1"/>
      <c r="H21" s="25">
        <f>SUM(H20,H17)</f>
        <v>2062460582</v>
      </c>
      <c r="I21" s="1"/>
      <c r="J21" s="25">
        <f>SUM(J20,J17)</f>
        <v>211675358</v>
      </c>
      <c r="K21" s="1"/>
      <c r="L21" s="25">
        <f>SUM(L20,L17)</f>
        <v>201734273</v>
      </c>
      <c r="M21" s="1"/>
      <c r="N21" s="25">
        <f>SUM(N20,N17)</f>
        <v>141313392</v>
      </c>
      <c r="O21" s="1"/>
      <c r="P21" s="25">
        <f>SUM(P20,P17)</f>
        <v>141313392</v>
      </c>
      <c r="Q21" s="2"/>
      <c r="R21" s="25">
        <f>SUM(R20,R17)</f>
        <v>4284010615</v>
      </c>
    </row>
    <row r="22" spans="1:20" ht="18.75" customHeight="1" thickTop="1">
      <c r="A22" s="13"/>
      <c r="F22" s="2">
        <v>0</v>
      </c>
      <c r="G22" s="1"/>
      <c r="H22" s="2">
        <v>0</v>
      </c>
      <c r="I22" s="1"/>
      <c r="J22" s="2">
        <v>0</v>
      </c>
      <c r="K22" s="1"/>
      <c r="L22" s="2">
        <v>0</v>
      </c>
      <c r="M22" s="1"/>
      <c r="N22" s="2"/>
      <c r="O22" s="1"/>
      <c r="P22" s="2">
        <v>0</v>
      </c>
      <c r="Q22" s="2"/>
      <c r="R22" s="2">
        <v>0</v>
      </c>
    </row>
    <row r="23" spans="1:20" ht="18.75" customHeight="1">
      <c r="A23" s="13"/>
      <c r="F23" s="2">
        <f>F21-bs!H78</f>
        <v>0</v>
      </c>
      <c r="G23" s="1"/>
      <c r="H23" s="2">
        <f>H21-bs!H79</f>
        <v>0</v>
      </c>
      <c r="I23" s="1"/>
      <c r="J23" s="2">
        <f>J21-bs!H84</f>
        <v>0</v>
      </c>
      <c r="K23" s="1"/>
      <c r="L23" s="2">
        <f>L21-bs!H85</f>
        <v>0</v>
      </c>
      <c r="M23" s="1"/>
      <c r="N23" s="2"/>
      <c r="O23" s="1"/>
      <c r="P23" s="2">
        <f>P21-bs!H86</f>
        <v>0</v>
      </c>
      <c r="Q23" s="2"/>
      <c r="R23" s="2">
        <f>R21-bs!H90</f>
        <v>0</v>
      </c>
    </row>
    <row r="24" spans="1:20" ht="18.75" customHeight="1">
      <c r="A24" s="16" t="s">
        <v>18</v>
      </c>
    </row>
  </sheetData>
  <mergeCells count="3">
    <mergeCell ref="F5:R5"/>
    <mergeCell ref="J8:L8"/>
    <mergeCell ref="N6:P6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8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showGridLines="0" tabSelected="1" view="pageBreakPreview" topLeftCell="A88" zoomScaleNormal="93" zoomScaleSheetLayoutView="100" workbookViewId="0">
      <selection activeCell="F58" sqref="F58"/>
    </sheetView>
  </sheetViews>
  <sheetFormatPr defaultColWidth="10.7109375" defaultRowHeight="20.45" customHeight="1"/>
  <cols>
    <col min="1" max="1" width="54.42578125" style="124" customWidth="1"/>
    <col min="2" max="2" width="5.42578125" style="124" customWidth="1"/>
    <col min="3" max="3" width="2" style="124" customWidth="1"/>
    <col min="4" max="4" width="15.28515625" style="123" bestFit="1" customWidth="1"/>
    <col min="5" max="5" width="1.7109375" style="155" customWidth="1"/>
    <col min="6" max="6" width="15" style="125" bestFit="1" customWidth="1"/>
    <col min="7" max="7" width="1.5703125" style="124" customWidth="1"/>
    <col min="8" max="8" width="15.28515625" style="123" bestFit="1" customWidth="1"/>
    <col min="9" max="9" width="1.5703125" style="124" customWidth="1"/>
    <col min="10" max="10" width="15.7109375" style="125" bestFit="1" customWidth="1"/>
    <col min="11" max="11" width="8.5703125" style="124" customWidth="1"/>
    <col min="12" max="12" width="11.28515625" style="124" bestFit="1" customWidth="1"/>
    <col min="13" max="13" width="14.5703125" style="124" bestFit="1" customWidth="1"/>
    <col min="14" max="14" width="12.42578125" style="124" bestFit="1" customWidth="1"/>
    <col min="15" max="16" width="10.7109375" style="124"/>
    <col min="17" max="17" width="14.5703125" style="124" bestFit="1" customWidth="1"/>
    <col min="18" max="16384" width="10.7109375" style="124"/>
  </cols>
  <sheetData>
    <row r="1" spans="1:18" s="119" customFormat="1" ht="20.45" customHeight="1">
      <c r="A1" s="119" t="s">
        <v>0</v>
      </c>
      <c r="D1" s="120"/>
      <c r="E1" s="154"/>
      <c r="F1" s="121"/>
      <c r="H1" s="120"/>
      <c r="J1" s="121"/>
    </row>
    <row r="2" spans="1:18" s="119" customFormat="1" ht="20.45" customHeight="1">
      <c r="A2" s="119" t="s">
        <v>147</v>
      </c>
      <c r="D2" s="120"/>
      <c r="E2" s="154"/>
      <c r="F2" s="121"/>
      <c r="H2" s="120"/>
      <c r="J2" s="121"/>
    </row>
    <row r="3" spans="1:18" s="119" customFormat="1" ht="20.45" customHeight="1">
      <c r="A3" s="119" t="s">
        <v>234</v>
      </c>
      <c r="D3" s="120"/>
      <c r="E3" s="154"/>
      <c r="F3" s="121"/>
      <c r="H3" s="120"/>
      <c r="J3" s="121"/>
    </row>
    <row r="4" spans="1:18" s="122" customFormat="1" ht="20.45" customHeight="1">
      <c r="D4" s="123"/>
      <c r="E4" s="155"/>
      <c r="F4" s="125"/>
      <c r="G4" s="124"/>
      <c r="H4" s="126"/>
      <c r="I4" s="124"/>
      <c r="J4" s="127" t="s">
        <v>1</v>
      </c>
    </row>
    <row r="5" spans="1:18" s="128" customFormat="1" ht="20.45" customHeight="1">
      <c r="D5" s="129"/>
      <c r="E5" s="156" t="s">
        <v>2</v>
      </c>
      <c r="F5" s="131"/>
      <c r="H5" s="129"/>
      <c r="I5" s="130" t="s">
        <v>3</v>
      </c>
      <c r="J5" s="131"/>
    </row>
    <row r="6" spans="1:18" s="122" customFormat="1" ht="20.45" customHeight="1">
      <c r="B6" s="132"/>
      <c r="D6" s="133">
        <v>2022</v>
      </c>
      <c r="E6" s="157"/>
      <c r="F6" s="133">
        <v>2021</v>
      </c>
      <c r="G6" s="132"/>
      <c r="H6" s="133">
        <v>2022</v>
      </c>
      <c r="I6" s="132"/>
      <c r="J6" s="133">
        <v>2021</v>
      </c>
    </row>
    <row r="7" spans="1:18" ht="20.45" customHeight="1">
      <c r="A7" s="119" t="s">
        <v>148</v>
      </c>
    </row>
    <row r="8" spans="1:18" ht="20.45" customHeight="1">
      <c r="A8" s="124" t="s">
        <v>146</v>
      </c>
      <c r="D8" s="134">
        <f>SUM(pl!D24)</f>
        <v>-8232184</v>
      </c>
      <c r="E8" s="158"/>
      <c r="F8" s="134">
        <v>-957362704</v>
      </c>
      <c r="G8" s="134"/>
      <c r="H8" s="134">
        <f>SUM(pl!H24)</f>
        <v>-96341639</v>
      </c>
      <c r="I8" s="134"/>
      <c r="J8" s="134">
        <v>-69496173</v>
      </c>
      <c r="M8" s="134"/>
      <c r="N8" s="134"/>
      <c r="Q8" s="134"/>
      <c r="R8" s="134"/>
    </row>
    <row r="9" spans="1:18" ht="20.45" customHeight="1">
      <c r="A9" s="124" t="s">
        <v>207</v>
      </c>
      <c r="D9" s="134"/>
      <c r="E9" s="158"/>
      <c r="F9" s="134"/>
      <c r="G9" s="134"/>
      <c r="H9" s="134"/>
      <c r="I9" s="134"/>
      <c r="J9" s="134"/>
      <c r="M9" s="134"/>
      <c r="N9" s="134"/>
      <c r="Q9" s="134"/>
      <c r="R9" s="134"/>
    </row>
    <row r="10" spans="1:18" ht="20.45" customHeight="1">
      <c r="A10" s="124" t="s">
        <v>149</v>
      </c>
      <c r="D10" s="134"/>
      <c r="E10" s="158"/>
      <c r="F10" s="134"/>
      <c r="G10" s="134"/>
      <c r="H10" s="134"/>
      <c r="I10" s="134"/>
      <c r="J10" s="134"/>
      <c r="M10" s="134"/>
      <c r="N10" s="134"/>
      <c r="Q10" s="134"/>
      <c r="R10" s="134"/>
    </row>
    <row r="11" spans="1:18" ht="20.45" customHeight="1">
      <c r="A11" s="124" t="s">
        <v>150</v>
      </c>
      <c r="D11" s="134">
        <v>412536768</v>
      </c>
      <c r="E11" s="158"/>
      <c r="F11" s="134">
        <v>449608531</v>
      </c>
      <c r="G11" s="134"/>
      <c r="H11" s="134">
        <v>5223480</v>
      </c>
      <c r="I11" s="134"/>
      <c r="J11" s="134">
        <v>8606828</v>
      </c>
      <c r="M11" s="134"/>
      <c r="N11" s="134"/>
      <c r="Q11" s="134"/>
      <c r="R11" s="134"/>
    </row>
    <row r="12" spans="1:18" ht="20.45" customHeight="1">
      <c r="A12" s="124" t="s">
        <v>258</v>
      </c>
      <c r="D12" s="135">
        <v>-187297</v>
      </c>
      <c r="E12" s="158"/>
      <c r="F12" s="135">
        <v>68892437</v>
      </c>
      <c r="G12" s="134"/>
      <c r="H12" s="135">
        <v>-289628</v>
      </c>
      <c r="I12" s="134"/>
      <c r="J12" s="134">
        <v>2391045</v>
      </c>
      <c r="M12" s="134"/>
      <c r="N12" s="134"/>
      <c r="Q12" s="134"/>
      <c r="R12" s="134"/>
    </row>
    <row r="13" spans="1:18" ht="20.45" customHeight="1">
      <c r="A13" s="124" t="s">
        <v>259</v>
      </c>
      <c r="D13" s="135">
        <v>1648899</v>
      </c>
      <c r="E13" s="158"/>
      <c r="F13" s="135">
        <v>2639800</v>
      </c>
      <c r="G13" s="134"/>
      <c r="H13" s="135">
        <v>0</v>
      </c>
      <c r="I13" s="134"/>
      <c r="J13" s="134">
        <v>0</v>
      </c>
      <c r="M13" s="134"/>
      <c r="N13" s="134"/>
      <c r="Q13" s="134"/>
      <c r="R13" s="134"/>
    </row>
    <row r="14" spans="1:18" ht="20.45" customHeight="1">
      <c r="A14" s="124" t="s">
        <v>267</v>
      </c>
      <c r="D14" s="135"/>
      <c r="E14" s="158"/>
      <c r="F14" s="135"/>
      <c r="G14" s="134"/>
      <c r="H14" s="135"/>
      <c r="I14" s="134"/>
      <c r="J14" s="134"/>
      <c r="M14" s="134"/>
      <c r="N14" s="134"/>
      <c r="Q14" s="134"/>
      <c r="R14" s="134"/>
    </row>
    <row r="15" spans="1:18" ht="20.45" customHeight="1">
      <c r="A15" s="124" t="s">
        <v>268</v>
      </c>
      <c r="D15" s="135">
        <v>597453</v>
      </c>
      <c r="E15" s="158"/>
      <c r="F15" s="135">
        <v>-373414</v>
      </c>
      <c r="G15" s="134"/>
      <c r="H15" s="135">
        <v>0</v>
      </c>
      <c r="I15" s="134"/>
      <c r="J15" s="134">
        <v>0</v>
      </c>
      <c r="M15" s="134"/>
      <c r="N15" s="134"/>
      <c r="Q15" s="134"/>
      <c r="R15" s="134"/>
    </row>
    <row r="16" spans="1:18" ht="20.45" customHeight="1">
      <c r="A16" s="124" t="s">
        <v>217</v>
      </c>
      <c r="D16" s="134">
        <v>0</v>
      </c>
      <c r="E16" s="158"/>
      <c r="F16" s="134">
        <v>0</v>
      </c>
      <c r="G16" s="134"/>
      <c r="H16" s="134">
        <v>0</v>
      </c>
      <c r="I16" s="134"/>
      <c r="J16" s="134">
        <v>-2493900</v>
      </c>
      <c r="M16" s="134"/>
      <c r="N16" s="134"/>
      <c r="Q16" s="134"/>
      <c r="R16" s="134"/>
    </row>
    <row r="17" spans="1:18" ht="20.45" customHeight="1">
      <c r="A17" s="124" t="s">
        <v>260</v>
      </c>
      <c r="D17" s="134">
        <v>0</v>
      </c>
      <c r="E17" s="158"/>
      <c r="F17" s="134">
        <v>0</v>
      </c>
      <c r="G17" s="134"/>
      <c r="H17" s="134">
        <v>-19074128</v>
      </c>
      <c r="I17" s="134"/>
      <c r="J17" s="134">
        <v>-11838505</v>
      </c>
      <c r="M17" s="134"/>
      <c r="N17" s="134"/>
      <c r="Q17" s="134"/>
      <c r="R17" s="134"/>
    </row>
    <row r="18" spans="1:18" ht="20.45" customHeight="1">
      <c r="A18" s="124" t="s">
        <v>151</v>
      </c>
      <c r="D18" s="136">
        <v>-28529666</v>
      </c>
      <c r="E18" s="158"/>
      <c r="F18" s="136">
        <v>-31668870</v>
      </c>
      <c r="G18" s="134"/>
      <c r="H18" s="136">
        <v>0</v>
      </c>
      <c r="I18" s="134"/>
      <c r="J18" s="134">
        <v>0</v>
      </c>
      <c r="M18" s="134"/>
      <c r="N18" s="134"/>
      <c r="Q18" s="134"/>
      <c r="R18" s="134"/>
    </row>
    <row r="19" spans="1:18" ht="20.45" customHeight="1">
      <c r="A19" s="124" t="s">
        <v>261</v>
      </c>
      <c r="D19" s="135">
        <v>-34757718</v>
      </c>
      <c r="E19" s="158"/>
      <c r="F19" s="135">
        <v>0</v>
      </c>
      <c r="G19" s="134"/>
      <c r="H19" s="135">
        <v>-12896010</v>
      </c>
      <c r="I19" s="134"/>
      <c r="J19" s="135">
        <v>0</v>
      </c>
      <c r="M19" s="134"/>
      <c r="N19" s="134"/>
      <c r="Q19" s="134"/>
      <c r="R19" s="134"/>
    </row>
    <row r="20" spans="1:18" ht="20.45" customHeight="1">
      <c r="A20" s="124" t="s">
        <v>262</v>
      </c>
      <c r="D20" s="135">
        <v>1882814</v>
      </c>
      <c r="E20" s="158"/>
      <c r="F20" s="135">
        <v>-13690002</v>
      </c>
      <c r="G20" s="134"/>
      <c r="H20" s="135">
        <v>-218586</v>
      </c>
      <c r="I20" s="134"/>
      <c r="J20" s="135">
        <v>-38592</v>
      </c>
      <c r="M20" s="134"/>
      <c r="N20" s="134"/>
      <c r="Q20" s="134"/>
      <c r="R20" s="134"/>
    </row>
    <row r="21" spans="1:18" ht="20.45" customHeight="1">
      <c r="A21" s="124" t="s">
        <v>152</v>
      </c>
      <c r="D21" s="134">
        <v>8546996</v>
      </c>
      <c r="E21" s="158"/>
      <c r="F21" s="134">
        <v>2589759</v>
      </c>
      <c r="G21" s="134"/>
      <c r="H21" s="134">
        <v>5705001</v>
      </c>
      <c r="I21" s="134"/>
      <c r="J21" s="134">
        <v>2587689</v>
      </c>
      <c r="M21" s="134"/>
      <c r="N21" s="134"/>
      <c r="Q21" s="134"/>
      <c r="R21" s="134"/>
    </row>
    <row r="22" spans="1:18" ht="20.45" customHeight="1">
      <c r="A22" s="124" t="s">
        <v>263</v>
      </c>
      <c r="D22" s="134">
        <v>-2095244</v>
      </c>
      <c r="E22" s="158"/>
      <c r="F22" s="134">
        <v>1241540</v>
      </c>
      <c r="G22" s="134"/>
      <c r="H22" s="134">
        <v>0</v>
      </c>
      <c r="I22" s="134"/>
      <c r="J22" s="135">
        <v>0</v>
      </c>
      <c r="M22" s="134"/>
      <c r="N22" s="134"/>
      <c r="Q22" s="134"/>
      <c r="R22" s="134"/>
    </row>
    <row r="23" spans="1:18" ht="20.45" customHeight="1">
      <c r="A23" s="124" t="s">
        <v>153</v>
      </c>
      <c r="D23" s="134">
        <v>21551139</v>
      </c>
      <c r="E23" s="158"/>
      <c r="F23" s="134">
        <v>4261677</v>
      </c>
      <c r="G23" s="134"/>
      <c r="H23" s="134">
        <v>0</v>
      </c>
      <c r="I23" s="134"/>
      <c r="J23" s="135">
        <v>0</v>
      </c>
      <c r="M23" s="134"/>
      <c r="N23" s="134"/>
      <c r="Q23" s="134"/>
      <c r="R23" s="134"/>
    </row>
    <row r="24" spans="1:18" ht="20.45" customHeight="1">
      <c r="A24" s="124" t="s">
        <v>203</v>
      </c>
      <c r="D24" s="134">
        <v>14769572</v>
      </c>
      <c r="E24" s="158"/>
      <c r="F24" s="134">
        <v>6721888</v>
      </c>
      <c r="G24" s="134"/>
      <c r="H24" s="134">
        <v>1370885</v>
      </c>
      <c r="I24" s="134"/>
      <c r="J24" s="134">
        <v>-7016325</v>
      </c>
      <c r="M24" s="134"/>
      <c r="N24" s="134"/>
      <c r="Q24" s="134"/>
      <c r="R24" s="134"/>
    </row>
    <row r="25" spans="1:18" ht="20.45" customHeight="1">
      <c r="A25" s="124" t="s">
        <v>218</v>
      </c>
      <c r="D25" s="134">
        <v>0</v>
      </c>
      <c r="E25" s="158"/>
      <c r="F25" s="134">
        <v>-355274</v>
      </c>
      <c r="G25" s="134"/>
      <c r="H25" s="134">
        <v>0</v>
      </c>
      <c r="I25" s="134"/>
      <c r="J25" s="134">
        <v>0</v>
      </c>
      <c r="M25" s="134"/>
      <c r="N25" s="134"/>
      <c r="Q25" s="134"/>
      <c r="R25" s="134"/>
    </row>
    <row r="26" spans="1:18" ht="20.45" customHeight="1">
      <c r="A26" s="124" t="s">
        <v>154</v>
      </c>
      <c r="D26" s="135">
        <v>-40919275</v>
      </c>
      <c r="E26" s="159"/>
      <c r="F26" s="135">
        <v>-47643592</v>
      </c>
      <c r="G26" s="135"/>
      <c r="H26" s="135">
        <v>-46761266</v>
      </c>
      <c r="I26" s="135"/>
      <c r="J26" s="135">
        <v>-57018505</v>
      </c>
      <c r="L26" s="137"/>
      <c r="M26" s="134"/>
      <c r="N26" s="134"/>
      <c r="Q26" s="134"/>
      <c r="R26" s="134"/>
    </row>
    <row r="27" spans="1:18" ht="20.45" customHeight="1">
      <c r="A27" s="124" t="s">
        <v>155</v>
      </c>
      <c r="D27" s="138">
        <v>201884032</v>
      </c>
      <c r="E27" s="159"/>
      <c r="F27" s="138">
        <v>233775187</v>
      </c>
      <c r="G27" s="135"/>
      <c r="H27" s="138">
        <v>77818371</v>
      </c>
      <c r="I27" s="135"/>
      <c r="J27" s="138">
        <v>76352049</v>
      </c>
      <c r="M27" s="134"/>
      <c r="N27" s="134"/>
      <c r="Q27" s="134"/>
      <c r="R27" s="134"/>
    </row>
    <row r="28" spans="1:18" ht="20.45" customHeight="1">
      <c r="A28" s="124" t="s">
        <v>156</v>
      </c>
      <c r="D28" s="134"/>
      <c r="E28" s="159"/>
      <c r="F28" s="134"/>
      <c r="G28" s="135"/>
      <c r="H28" s="134"/>
      <c r="I28" s="135"/>
      <c r="J28" s="134"/>
      <c r="M28" s="134"/>
      <c r="N28" s="134"/>
      <c r="Q28" s="134"/>
      <c r="R28" s="134"/>
    </row>
    <row r="29" spans="1:18" ht="20.45" customHeight="1">
      <c r="A29" s="124" t="s">
        <v>157</v>
      </c>
      <c r="D29" s="134">
        <f>SUM(D8:D27)</f>
        <v>548696289</v>
      </c>
      <c r="E29" s="158"/>
      <c r="F29" s="134">
        <f>SUM(F8:F27)</f>
        <v>-281363037</v>
      </c>
      <c r="G29" s="134"/>
      <c r="H29" s="134">
        <f>SUM(H8:H27)</f>
        <v>-85463520</v>
      </c>
      <c r="I29" s="134"/>
      <c r="J29" s="134">
        <f>SUM(J8:J27)</f>
        <v>-57964389</v>
      </c>
      <c r="M29" s="134"/>
      <c r="N29" s="134"/>
      <c r="Q29" s="134"/>
      <c r="R29" s="134"/>
    </row>
    <row r="30" spans="1:18" ht="20.45" customHeight="1">
      <c r="A30" s="124" t="s">
        <v>158</v>
      </c>
      <c r="D30" s="134"/>
      <c r="E30" s="158"/>
      <c r="F30" s="134"/>
      <c r="G30" s="134"/>
      <c r="H30" s="134"/>
      <c r="I30" s="134"/>
      <c r="J30" s="134"/>
      <c r="M30" s="134"/>
      <c r="N30" s="134"/>
      <c r="Q30" s="134"/>
      <c r="R30" s="134"/>
    </row>
    <row r="31" spans="1:18" ht="20.45" customHeight="1">
      <c r="A31" s="124" t="s">
        <v>159</v>
      </c>
      <c r="D31" s="134">
        <v>-221996278</v>
      </c>
      <c r="E31" s="158"/>
      <c r="F31" s="134">
        <v>34373373</v>
      </c>
      <c r="G31" s="134"/>
      <c r="H31" s="134">
        <v>19622980</v>
      </c>
      <c r="I31" s="134"/>
      <c r="J31" s="134">
        <v>-26361963</v>
      </c>
      <c r="M31" s="134"/>
      <c r="N31" s="134"/>
      <c r="Q31" s="134"/>
      <c r="R31" s="134"/>
    </row>
    <row r="32" spans="1:18" s="119" customFormat="1" ht="20.45" customHeight="1">
      <c r="A32" s="124" t="s">
        <v>160</v>
      </c>
      <c r="B32" s="124"/>
      <c r="C32" s="124"/>
      <c r="D32" s="134">
        <v>-11382048</v>
      </c>
      <c r="E32" s="158"/>
      <c r="F32" s="134">
        <v>9976786</v>
      </c>
      <c r="G32" s="134"/>
      <c r="H32" s="134">
        <v>0</v>
      </c>
      <c r="I32" s="134"/>
      <c r="J32" s="134">
        <v>0</v>
      </c>
      <c r="M32" s="134"/>
      <c r="N32" s="134"/>
      <c r="O32" s="124"/>
      <c r="P32" s="124"/>
      <c r="Q32" s="134"/>
      <c r="R32" s="134"/>
    </row>
    <row r="33" spans="1:18" ht="20.45" customHeight="1">
      <c r="A33" s="124" t="s">
        <v>161</v>
      </c>
      <c r="D33" s="134">
        <v>489613742</v>
      </c>
      <c r="E33" s="158"/>
      <c r="F33" s="134">
        <v>5167170</v>
      </c>
      <c r="G33" s="134"/>
      <c r="H33" s="134">
        <v>0</v>
      </c>
      <c r="I33" s="134"/>
      <c r="J33" s="134">
        <v>0</v>
      </c>
      <c r="M33" s="134"/>
      <c r="N33" s="134"/>
      <c r="Q33" s="134"/>
      <c r="R33" s="134"/>
    </row>
    <row r="34" spans="1:18" ht="20.45" customHeight="1">
      <c r="A34" s="124" t="s">
        <v>162</v>
      </c>
      <c r="D34" s="134">
        <v>-34041006</v>
      </c>
      <c r="E34" s="158"/>
      <c r="F34" s="134">
        <v>-50314706</v>
      </c>
      <c r="G34" s="134"/>
      <c r="H34" s="134">
        <v>0</v>
      </c>
      <c r="I34" s="134"/>
      <c r="J34" s="134">
        <v>0</v>
      </c>
      <c r="M34" s="134"/>
      <c r="N34" s="134"/>
      <c r="Q34" s="134"/>
      <c r="R34" s="134"/>
    </row>
    <row r="35" spans="1:18" ht="20.45" customHeight="1">
      <c r="A35" s="124" t="s">
        <v>163</v>
      </c>
      <c r="D35" s="134">
        <v>-40394734</v>
      </c>
      <c r="E35" s="158"/>
      <c r="F35" s="134">
        <v>37213761</v>
      </c>
      <c r="G35" s="134"/>
      <c r="H35" s="134">
        <f>-2487847+1</f>
        <v>-2487846</v>
      </c>
      <c r="I35" s="134"/>
      <c r="J35" s="134">
        <v>9933145</v>
      </c>
      <c r="M35" s="134"/>
      <c r="N35" s="134"/>
      <c r="Q35" s="134"/>
      <c r="R35" s="134"/>
    </row>
    <row r="36" spans="1:18" ht="20.45" customHeight="1">
      <c r="A36" s="124" t="s">
        <v>164</v>
      </c>
      <c r="D36" s="134">
        <v>50425239</v>
      </c>
      <c r="E36" s="158"/>
      <c r="F36" s="134">
        <v>252356128</v>
      </c>
      <c r="G36" s="134"/>
      <c r="H36" s="134">
        <v>0</v>
      </c>
      <c r="I36" s="134"/>
      <c r="J36" s="134">
        <v>0</v>
      </c>
      <c r="M36" s="134"/>
      <c r="N36" s="134"/>
      <c r="Q36" s="134"/>
      <c r="R36" s="134"/>
    </row>
    <row r="37" spans="1:18" ht="20.45" customHeight="1">
      <c r="A37" s="124" t="s">
        <v>165</v>
      </c>
      <c r="D37" s="134">
        <v>1039542</v>
      </c>
      <c r="E37" s="158"/>
      <c r="F37" s="134">
        <v>-32527786</v>
      </c>
      <c r="G37" s="134"/>
      <c r="H37" s="134">
        <v>-180000</v>
      </c>
      <c r="I37" s="134"/>
      <c r="J37" s="134">
        <v>-8095755</v>
      </c>
      <c r="M37" s="134"/>
      <c r="N37" s="134"/>
      <c r="Q37" s="134"/>
      <c r="R37" s="134"/>
    </row>
    <row r="38" spans="1:18" ht="20.45" customHeight="1">
      <c r="A38" s="124" t="s">
        <v>166</v>
      </c>
      <c r="D38" s="134"/>
      <c r="E38" s="158"/>
      <c r="F38" s="134"/>
      <c r="G38" s="134"/>
      <c r="H38" s="134"/>
      <c r="I38" s="134"/>
      <c r="J38" s="134"/>
      <c r="M38" s="134"/>
      <c r="N38" s="134"/>
      <c r="Q38" s="134"/>
      <c r="R38" s="134"/>
    </row>
    <row r="39" spans="1:18" ht="20.45" customHeight="1">
      <c r="A39" s="124" t="s">
        <v>167</v>
      </c>
      <c r="D39" s="134">
        <v>298347689</v>
      </c>
      <c r="E39" s="158"/>
      <c r="F39" s="134">
        <v>-264807296</v>
      </c>
      <c r="G39" s="134"/>
      <c r="H39" s="134">
        <v>16404021</v>
      </c>
      <c r="I39" s="134"/>
      <c r="J39" s="134">
        <v>7631215</v>
      </c>
      <c r="M39" s="134"/>
      <c r="N39" s="134"/>
      <c r="Q39" s="134"/>
      <c r="R39" s="134"/>
    </row>
    <row r="40" spans="1:18" ht="20.45" customHeight="1">
      <c r="A40" s="124" t="s">
        <v>168</v>
      </c>
      <c r="D40" s="134">
        <v>429398658</v>
      </c>
      <c r="E40" s="158"/>
      <c r="F40" s="134">
        <v>382982101</v>
      </c>
      <c r="G40" s="134"/>
      <c r="H40" s="134">
        <v>0</v>
      </c>
      <c r="I40" s="134"/>
      <c r="J40" s="134">
        <v>0</v>
      </c>
      <c r="M40" s="134"/>
      <c r="N40" s="134"/>
      <c r="Q40" s="134"/>
      <c r="R40" s="134"/>
    </row>
    <row r="41" spans="1:18" ht="20.45" customHeight="1">
      <c r="A41" s="124" t="s">
        <v>169</v>
      </c>
      <c r="D41" s="134">
        <v>73570413</v>
      </c>
      <c r="E41" s="158"/>
      <c r="F41" s="134">
        <v>2787301</v>
      </c>
      <c r="G41" s="134"/>
      <c r="H41" s="134">
        <v>8388867</v>
      </c>
      <c r="I41" s="134"/>
      <c r="J41" s="134">
        <v>2076597</v>
      </c>
      <c r="M41" s="134"/>
      <c r="N41" s="134"/>
      <c r="Q41" s="134"/>
      <c r="R41" s="134"/>
    </row>
    <row r="42" spans="1:18" ht="20.45" customHeight="1">
      <c r="A42" s="124" t="s">
        <v>219</v>
      </c>
      <c r="D42" s="134">
        <v>-14856919</v>
      </c>
      <c r="E42" s="158"/>
      <c r="F42" s="134">
        <v>-13195671</v>
      </c>
      <c r="G42" s="134"/>
      <c r="H42" s="134">
        <v>-3275160</v>
      </c>
      <c r="I42" s="134"/>
      <c r="J42" s="134">
        <v>-7856422</v>
      </c>
      <c r="M42" s="134"/>
      <c r="N42" s="134"/>
      <c r="Q42" s="134"/>
      <c r="R42" s="134"/>
    </row>
    <row r="43" spans="1:18" ht="20.45" customHeight="1">
      <c r="A43" s="124" t="s">
        <v>220</v>
      </c>
      <c r="B43" s="134"/>
      <c r="D43" s="134">
        <v>0</v>
      </c>
      <c r="E43" s="158"/>
      <c r="F43" s="134">
        <v>-1418411</v>
      </c>
      <c r="G43" s="134"/>
      <c r="H43" s="134">
        <v>0</v>
      </c>
      <c r="I43" s="134"/>
      <c r="J43" s="134">
        <v>0</v>
      </c>
      <c r="M43" s="134"/>
      <c r="N43" s="134"/>
      <c r="Q43" s="134"/>
      <c r="R43" s="134"/>
    </row>
    <row r="44" spans="1:18" ht="20.45" customHeight="1">
      <c r="A44" s="124" t="s">
        <v>170</v>
      </c>
      <c r="D44" s="138">
        <v>19665766</v>
      </c>
      <c r="E44" s="158"/>
      <c r="F44" s="138">
        <v>89444465</v>
      </c>
      <c r="G44" s="134"/>
      <c r="H44" s="138">
        <v>-123182</v>
      </c>
      <c r="I44" s="134"/>
      <c r="J44" s="138">
        <v>6103408</v>
      </c>
      <c r="M44" s="134"/>
      <c r="N44" s="134"/>
      <c r="Q44" s="134"/>
      <c r="R44" s="134"/>
    </row>
    <row r="45" spans="1:18" ht="20.45" customHeight="1">
      <c r="A45" s="124" t="s">
        <v>171</v>
      </c>
      <c r="D45" s="134">
        <f>SUM(D29:D37,D39:D44)</f>
        <v>1588086353</v>
      </c>
      <c r="E45" s="158"/>
      <c r="F45" s="134">
        <f>SUM(F29:F44)</f>
        <v>170674178</v>
      </c>
      <c r="G45" s="134"/>
      <c r="H45" s="134">
        <f>SUM(H29:H37,H39:H44)</f>
        <v>-47113840</v>
      </c>
      <c r="I45" s="134"/>
      <c r="J45" s="134">
        <f>SUM(J39:J44,J29:J37)</f>
        <v>-74534164</v>
      </c>
      <c r="M45" s="134"/>
      <c r="N45" s="134"/>
      <c r="Q45" s="134"/>
      <c r="R45" s="134"/>
    </row>
    <row r="46" spans="1:18" ht="20.45" customHeight="1">
      <c r="A46" s="124" t="s">
        <v>221</v>
      </c>
      <c r="D46" s="134">
        <v>40919275</v>
      </c>
      <c r="E46" s="158"/>
      <c r="F46" s="134">
        <v>47643592</v>
      </c>
      <c r="G46" s="134"/>
      <c r="H46" s="134">
        <v>20361536</v>
      </c>
      <c r="I46" s="134"/>
      <c r="J46" s="134">
        <v>15474552</v>
      </c>
      <c r="M46" s="134"/>
      <c r="N46" s="134"/>
      <c r="Q46" s="134"/>
      <c r="R46" s="134"/>
    </row>
    <row r="47" spans="1:18" ht="20.45" customHeight="1">
      <c r="A47" s="124" t="s">
        <v>172</v>
      </c>
      <c r="D47" s="134">
        <v>6977505</v>
      </c>
      <c r="E47" s="158"/>
      <c r="F47" s="134">
        <v>14082488</v>
      </c>
      <c r="G47" s="134"/>
      <c r="H47" s="134">
        <v>0</v>
      </c>
      <c r="I47" s="134"/>
      <c r="J47" s="134">
        <v>5958054</v>
      </c>
      <c r="M47" s="134"/>
      <c r="N47" s="134"/>
      <c r="Q47" s="134"/>
      <c r="R47" s="134"/>
    </row>
    <row r="48" spans="1:18" ht="20.45" customHeight="1">
      <c r="A48" s="124" t="s">
        <v>222</v>
      </c>
      <c r="D48" s="134">
        <v>-78134094</v>
      </c>
      <c r="E48" s="158"/>
      <c r="F48" s="134">
        <v>-80557237</v>
      </c>
      <c r="G48" s="134"/>
      <c r="H48" s="134">
        <v>-21246045</v>
      </c>
      <c r="I48" s="134"/>
      <c r="J48" s="134">
        <v>-18767097</v>
      </c>
      <c r="M48" s="134"/>
      <c r="N48" s="134"/>
      <c r="Q48" s="134"/>
      <c r="R48" s="134"/>
    </row>
    <row r="49" spans="1:18" ht="20.45" customHeight="1">
      <c r="A49" s="124" t="s">
        <v>223</v>
      </c>
      <c r="D49" s="139">
        <v>-48478489</v>
      </c>
      <c r="E49" s="158"/>
      <c r="F49" s="139">
        <v>-35164177</v>
      </c>
      <c r="G49" s="134"/>
      <c r="H49" s="139">
        <v>-3859277</v>
      </c>
      <c r="I49" s="134"/>
      <c r="J49" s="139">
        <v>-1261685</v>
      </c>
      <c r="L49" s="134"/>
      <c r="M49" s="134"/>
      <c r="N49" s="134"/>
      <c r="Q49" s="134"/>
      <c r="R49" s="134"/>
    </row>
    <row r="50" spans="1:18" ht="20.45" customHeight="1">
      <c r="A50" s="119" t="s">
        <v>173</v>
      </c>
      <c r="D50" s="138">
        <f>SUM(D45:D49)</f>
        <v>1509370550</v>
      </c>
      <c r="E50" s="158"/>
      <c r="F50" s="138">
        <f>SUM(F45:F49)</f>
        <v>116678844</v>
      </c>
      <c r="G50" s="134"/>
      <c r="H50" s="138">
        <f>SUM(H45:H49)</f>
        <v>-51857626</v>
      </c>
      <c r="I50" s="134"/>
      <c r="J50" s="138">
        <f>SUM(J45:J49)</f>
        <v>-73130340</v>
      </c>
      <c r="M50" s="134"/>
      <c r="N50" s="134"/>
      <c r="Q50" s="134"/>
      <c r="R50" s="134"/>
    </row>
    <row r="51" spans="1:18" ht="20.45" customHeight="1">
      <c r="A51" s="119"/>
      <c r="D51" s="134"/>
      <c r="E51" s="158"/>
      <c r="F51" s="134"/>
      <c r="G51" s="134"/>
      <c r="H51" s="134"/>
      <c r="I51" s="134"/>
      <c r="J51" s="134"/>
      <c r="M51" s="134"/>
      <c r="N51" s="134"/>
      <c r="Q51" s="134"/>
      <c r="R51" s="134"/>
    </row>
    <row r="52" spans="1:18" ht="20.45" customHeight="1">
      <c r="A52" s="124" t="s">
        <v>18</v>
      </c>
      <c r="D52" s="134"/>
      <c r="E52" s="158"/>
      <c r="F52" s="134"/>
      <c r="G52" s="134"/>
      <c r="H52" s="134"/>
      <c r="I52" s="134"/>
      <c r="J52" s="134"/>
      <c r="M52" s="134"/>
      <c r="N52" s="134"/>
      <c r="Q52" s="134"/>
      <c r="R52" s="134"/>
    </row>
    <row r="53" spans="1:18" s="119" customFormat="1" ht="20.45" customHeight="1">
      <c r="A53" s="119" t="s">
        <v>0</v>
      </c>
      <c r="D53" s="140"/>
      <c r="E53" s="160"/>
      <c r="F53" s="140"/>
      <c r="G53" s="140"/>
      <c r="H53" s="140"/>
      <c r="I53" s="140"/>
      <c r="J53" s="140"/>
      <c r="M53" s="134"/>
      <c r="N53" s="134"/>
      <c r="O53" s="124"/>
      <c r="P53" s="124"/>
      <c r="Q53" s="134"/>
      <c r="R53" s="134"/>
    </row>
    <row r="54" spans="1:18" s="119" customFormat="1" ht="20.45" customHeight="1">
      <c r="A54" s="119" t="s">
        <v>174</v>
      </c>
      <c r="D54" s="140"/>
      <c r="E54" s="160"/>
      <c r="F54" s="140"/>
      <c r="G54" s="140"/>
      <c r="H54" s="140"/>
      <c r="I54" s="140"/>
      <c r="J54" s="140"/>
      <c r="M54" s="134"/>
      <c r="N54" s="134"/>
      <c r="O54" s="124"/>
      <c r="P54" s="124"/>
      <c r="Q54" s="134"/>
      <c r="R54" s="134"/>
    </row>
    <row r="55" spans="1:18" s="119" customFormat="1" ht="20.45" customHeight="1">
      <c r="A55" s="119" t="str">
        <f>A3</f>
        <v>For the year ended 31 December 2022</v>
      </c>
      <c r="D55" s="140"/>
      <c r="E55" s="160"/>
      <c r="F55" s="140"/>
      <c r="G55" s="140"/>
      <c r="H55" s="140"/>
      <c r="I55" s="140"/>
      <c r="J55" s="140"/>
      <c r="M55" s="134"/>
      <c r="N55" s="134"/>
      <c r="O55" s="124"/>
      <c r="P55" s="124"/>
      <c r="Q55" s="134"/>
      <c r="R55" s="134"/>
    </row>
    <row r="56" spans="1:18" s="122" customFormat="1" ht="20.45" customHeight="1">
      <c r="D56" s="134"/>
      <c r="E56" s="158"/>
      <c r="F56" s="134"/>
      <c r="G56" s="134"/>
      <c r="H56" s="136"/>
      <c r="I56" s="134"/>
      <c r="J56" s="136" t="s">
        <v>1</v>
      </c>
      <c r="M56" s="134"/>
      <c r="N56" s="134"/>
      <c r="O56" s="124"/>
      <c r="P56" s="124"/>
      <c r="Q56" s="134"/>
      <c r="R56" s="134"/>
    </row>
    <row r="57" spans="1:18" s="128" customFormat="1" ht="20.45" customHeight="1">
      <c r="D57" s="141"/>
      <c r="E57" s="161" t="s">
        <v>2</v>
      </c>
      <c r="F57" s="141"/>
      <c r="G57" s="142"/>
      <c r="H57" s="141"/>
      <c r="I57" s="141" t="s">
        <v>3</v>
      </c>
      <c r="J57" s="141"/>
      <c r="M57" s="134"/>
      <c r="N57" s="134"/>
      <c r="O57" s="124"/>
      <c r="P57" s="124"/>
      <c r="Q57" s="134"/>
      <c r="R57" s="134"/>
    </row>
    <row r="58" spans="1:18" s="122" customFormat="1" ht="20.45" customHeight="1">
      <c r="B58" s="132"/>
      <c r="D58" s="133">
        <v>2022</v>
      </c>
      <c r="E58" s="157"/>
      <c r="F58" s="133">
        <v>2021</v>
      </c>
      <c r="G58" s="132"/>
      <c r="H58" s="133">
        <v>2022</v>
      </c>
      <c r="I58" s="132"/>
      <c r="J58" s="133">
        <v>2021</v>
      </c>
      <c r="M58" s="134"/>
      <c r="N58" s="134"/>
      <c r="O58" s="124"/>
      <c r="P58" s="124"/>
      <c r="Q58" s="134"/>
      <c r="R58" s="134"/>
    </row>
    <row r="59" spans="1:18" ht="20.45" customHeight="1">
      <c r="A59" s="119" t="s">
        <v>175</v>
      </c>
      <c r="D59" s="134"/>
      <c r="E59" s="158"/>
      <c r="F59" s="134"/>
      <c r="G59" s="134"/>
      <c r="H59" s="134"/>
      <c r="I59" s="134"/>
      <c r="J59" s="134"/>
      <c r="M59" s="134"/>
      <c r="N59" s="134"/>
      <c r="Q59" s="134"/>
      <c r="R59" s="134"/>
    </row>
    <row r="60" spans="1:18" ht="20.45" customHeight="1">
      <c r="A60" s="124" t="s">
        <v>264</v>
      </c>
      <c r="B60" s="134"/>
      <c r="D60" s="136">
        <v>23783022</v>
      </c>
      <c r="E60" s="158"/>
      <c r="F60" s="136">
        <v>-67042</v>
      </c>
      <c r="G60" s="134"/>
      <c r="H60" s="136">
        <v>0</v>
      </c>
      <c r="I60" s="134"/>
      <c r="J60" s="135">
        <v>0</v>
      </c>
      <c r="M60" s="134"/>
      <c r="N60" s="134"/>
      <c r="Q60" s="134"/>
      <c r="R60" s="134"/>
    </row>
    <row r="61" spans="1:18" ht="20.45" customHeight="1">
      <c r="A61" s="124" t="s">
        <v>204</v>
      </c>
      <c r="B61" s="134"/>
      <c r="D61" s="136">
        <v>0</v>
      </c>
      <c r="E61" s="158"/>
      <c r="F61" s="136">
        <v>-98065</v>
      </c>
      <c r="G61" s="134"/>
      <c r="H61" s="136">
        <v>-7030</v>
      </c>
      <c r="I61" s="134"/>
      <c r="J61" s="136">
        <v>-98065</v>
      </c>
      <c r="M61" s="134"/>
      <c r="N61" s="134"/>
      <c r="Q61" s="134"/>
      <c r="R61" s="134"/>
    </row>
    <row r="62" spans="1:18" ht="20.45" customHeight="1">
      <c r="A62" s="124" t="s">
        <v>176</v>
      </c>
      <c r="D62" s="136">
        <v>0</v>
      </c>
      <c r="E62" s="158"/>
      <c r="F62" s="136">
        <v>0</v>
      </c>
      <c r="G62" s="134"/>
      <c r="H62" s="136">
        <v>138000000</v>
      </c>
      <c r="I62" s="134"/>
      <c r="J62" s="136">
        <v>271000000</v>
      </c>
      <c r="M62" s="134"/>
      <c r="N62" s="134"/>
      <c r="Q62" s="134"/>
      <c r="R62" s="134"/>
    </row>
    <row r="63" spans="1:18" ht="20.45" customHeight="1">
      <c r="A63" s="124" t="s">
        <v>177</v>
      </c>
      <c r="D63" s="135">
        <v>0</v>
      </c>
      <c r="E63" s="162"/>
      <c r="F63" s="135">
        <v>0</v>
      </c>
      <c r="G63" s="143"/>
      <c r="H63" s="135">
        <v>-319000000</v>
      </c>
      <c r="I63" s="143"/>
      <c r="J63" s="135">
        <v>-302000000</v>
      </c>
      <c r="M63" s="134"/>
      <c r="N63" s="134"/>
      <c r="Q63" s="134"/>
      <c r="R63" s="134"/>
    </row>
    <row r="64" spans="1:18" ht="20.45" customHeight="1">
      <c r="A64" s="124" t="s">
        <v>224</v>
      </c>
      <c r="D64" s="136">
        <v>0</v>
      </c>
      <c r="E64" s="158"/>
      <c r="F64" s="136">
        <v>0</v>
      </c>
      <c r="G64" s="134"/>
      <c r="H64" s="136">
        <v>0</v>
      </c>
      <c r="I64" s="134"/>
      <c r="J64" s="136">
        <v>2493900</v>
      </c>
      <c r="M64" s="134"/>
      <c r="N64" s="134"/>
      <c r="Q64" s="134"/>
      <c r="R64" s="134"/>
    </row>
    <row r="65" spans="1:18" ht="20.45" customHeight="1">
      <c r="A65" s="124" t="s">
        <v>269</v>
      </c>
      <c r="D65" s="136">
        <v>19074128</v>
      </c>
      <c r="E65" s="158"/>
      <c r="F65" s="136">
        <v>11838505</v>
      </c>
      <c r="G65" s="134"/>
      <c r="H65" s="136">
        <v>19074128</v>
      </c>
      <c r="I65" s="134"/>
      <c r="J65" s="136">
        <v>11838505</v>
      </c>
      <c r="M65" s="134"/>
      <c r="N65" s="134"/>
      <c r="Q65" s="134"/>
      <c r="R65" s="134"/>
    </row>
    <row r="66" spans="1:18" ht="20.45" customHeight="1">
      <c r="A66" s="124" t="s">
        <v>178</v>
      </c>
      <c r="D66" s="136">
        <v>3238556</v>
      </c>
      <c r="E66" s="163"/>
      <c r="F66" s="136">
        <v>22099233</v>
      </c>
      <c r="G66" s="136"/>
      <c r="H66" s="136">
        <v>4800768</v>
      </c>
      <c r="I66" s="136"/>
      <c r="J66" s="136">
        <v>38598</v>
      </c>
      <c r="M66" s="134"/>
      <c r="N66" s="134"/>
      <c r="Q66" s="134"/>
      <c r="R66" s="134"/>
    </row>
    <row r="67" spans="1:18" ht="20.45" customHeight="1">
      <c r="A67" s="124" t="s">
        <v>179</v>
      </c>
      <c r="D67" s="134">
        <v>-293040604</v>
      </c>
      <c r="E67" s="158"/>
      <c r="F67" s="134">
        <v>-85570568</v>
      </c>
      <c r="G67" s="134"/>
      <c r="H67" s="134">
        <v>-11071934</v>
      </c>
      <c r="I67" s="134"/>
      <c r="J67" s="134">
        <v>-2710602</v>
      </c>
      <c r="M67" s="134"/>
      <c r="N67" s="134"/>
      <c r="Q67" s="134"/>
      <c r="R67" s="134"/>
    </row>
    <row r="68" spans="1:18" ht="20.45" customHeight="1">
      <c r="A68" s="119" t="s">
        <v>265</v>
      </c>
      <c r="D68" s="144">
        <f>SUM(D60:D67)</f>
        <v>-246944898</v>
      </c>
      <c r="E68" s="158">
        <f t="shared" ref="E68:F68" si="0">SUM(E60:E67)</f>
        <v>0</v>
      </c>
      <c r="F68" s="144">
        <f t="shared" si="0"/>
        <v>-51797937</v>
      </c>
      <c r="G68" s="134"/>
      <c r="H68" s="144">
        <f>SUM(H60:H67)</f>
        <v>-168204068</v>
      </c>
      <c r="I68" s="134"/>
      <c r="J68" s="144">
        <v>-19437664</v>
      </c>
      <c r="M68" s="134"/>
      <c r="N68" s="134"/>
      <c r="Q68" s="134"/>
      <c r="R68" s="134"/>
    </row>
    <row r="69" spans="1:18" ht="20.45" customHeight="1">
      <c r="A69" s="119" t="s">
        <v>180</v>
      </c>
      <c r="D69" s="134"/>
      <c r="E69" s="158"/>
      <c r="F69" s="134"/>
      <c r="G69" s="134"/>
      <c r="H69" s="134"/>
      <c r="I69" s="134"/>
      <c r="J69" s="134"/>
      <c r="M69" s="134"/>
      <c r="N69" s="134"/>
      <c r="Q69" s="134"/>
      <c r="R69" s="134"/>
    </row>
    <row r="70" spans="1:18" ht="20.45" customHeight="1">
      <c r="A70" s="124" t="s">
        <v>266</v>
      </c>
      <c r="D70" s="134"/>
      <c r="E70" s="158"/>
      <c r="F70" s="134"/>
      <c r="G70" s="134"/>
      <c r="H70" s="134"/>
      <c r="I70" s="134"/>
      <c r="J70" s="134"/>
      <c r="M70" s="134"/>
      <c r="N70" s="134"/>
      <c r="Q70" s="134"/>
      <c r="R70" s="134"/>
    </row>
    <row r="71" spans="1:18" ht="20.45" customHeight="1">
      <c r="A71" s="124" t="s">
        <v>141</v>
      </c>
      <c r="D71" s="134">
        <v>-101162030</v>
      </c>
      <c r="E71" s="158"/>
      <c r="F71" s="134">
        <v>-2142194</v>
      </c>
      <c r="G71" s="134"/>
      <c r="H71" s="134">
        <v>0</v>
      </c>
      <c r="I71" s="134"/>
      <c r="J71" s="134">
        <v>0</v>
      </c>
      <c r="M71" s="134"/>
      <c r="N71" s="134"/>
      <c r="Q71" s="134"/>
      <c r="R71" s="134"/>
    </row>
    <row r="72" spans="1:18" ht="20.45" customHeight="1">
      <c r="A72" s="124" t="s">
        <v>181</v>
      </c>
      <c r="D72" s="134">
        <v>0</v>
      </c>
      <c r="E72" s="158"/>
      <c r="F72" s="134">
        <v>0</v>
      </c>
      <c r="G72" s="134"/>
      <c r="H72" s="134">
        <v>1032000000</v>
      </c>
      <c r="I72" s="134"/>
      <c r="J72" s="134">
        <v>596000000</v>
      </c>
      <c r="M72" s="134"/>
      <c r="N72" s="134"/>
      <c r="Q72" s="134"/>
      <c r="R72" s="134"/>
    </row>
    <row r="73" spans="1:18" ht="20.45" customHeight="1">
      <c r="A73" s="124" t="s">
        <v>182</v>
      </c>
      <c r="D73" s="135">
        <v>0</v>
      </c>
      <c r="E73" s="158"/>
      <c r="F73" s="135">
        <v>0</v>
      </c>
      <c r="G73" s="134"/>
      <c r="H73" s="135">
        <v>-782000000</v>
      </c>
      <c r="I73" s="134"/>
      <c r="J73" s="135">
        <v>-500000000</v>
      </c>
      <c r="M73" s="134"/>
      <c r="N73" s="134"/>
      <c r="Q73" s="134"/>
      <c r="R73" s="134"/>
    </row>
    <row r="74" spans="1:18" ht="20.45" customHeight="1">
      <c r="A74" s="124" t="s">
        <v>183</v>
      </c>
      <c r="D74" s="136">
        <v>150735000</v>
      </c>
      <c r="E74" s="158"/>
      <c r="F74" s="136">
        <v>462775000</v>
      </c>
      <c r="G74" s="134"/>
      <c r="H74" s="136">
        <v>0</v>
      </c>
      <c r="I74" s="134"/>
      <c r="J74" s="136">
        <v>0</v>
      </c>
      <c r="M74" s="134"/>
      <c r="N74" s="134"/>
      <c r="Q74" s="134"/>
      <c r="R74" s="134"/>
    </row>
    <row r="75" spans="1:18" ht="20.45" customHeight="1">
      <c r="A75" s="124" t="s">
        <v>184</v>
      </c>
      <c r="D75" s="134">
        <v>-688897170</v>
      </c>
      <c r="E75" s="158"/>
      <c r="F75" s="134">
        <v>-329208810</v>
      </c>
      <c r="G75" s="134"/>
      <c r="H75" s="134">
        <v>0</v>
      </c>
      <c r="I75" s="134"/>
      <c r="J75" s="134">
        <v>0</v>
      </c>
      <c r="M75" s="134"/>
      <c r="N75" s="134"/>
      <c r="Q75" s="134"/>
      <c r="R75" s="134"/>
    </row>
    <row r="76" spans="1:18" ht="20.45" customHeight="1">
      <c r="A76" s="124" t="s">
        <v>225</v>
      </c>
      <c r="B76" s="134"/>
      <c r="D76" s="134">
        <v>-16950000</v>
      </c>
      <c r="E76" s="158"/>
      <c r="F76" s="134">
        <v>-4000000</v>
      </c>
      <c r="G76" s="134"/>
      <c r="H76" s="134">
        <v>0</v>
      </c>
      <c r="I76" s="134"/>
      <c r="J76" s="134">
        <v>0</v>
      </c>
      <c r="M76" s="134"/>
      <c r="N76" s="134"/>
      <c r="Q76" s="134"/>
      <c r="R76" s="134"/>
    </row>
    <row r="77" spans="1:18" ht="20.45" customHeight="1">
      <c r="A77" s="124" t="s">
        <v>185</v>
      </c>
      <c r="D77" s="125">
        <v>-35089789</v>
      </c>
      <c r="E77" s="158"/>
      <c r="F77" s="134">
        <v>-15556479</v>
      </c>
      <c r="G77" s="134"/>
      <c r="H77" s="134">
        <v>-3240027</v>
      </c>
      <c r="I77" s="134"/>
      <c r="J77" s="134">
        <v>-1411829</v>
      </c>
      <c r="M77" s="134"/>
      <c r="N77" s="134"/>
      <c r="Q77" s="134"/>
      <c r="R77" s="134"/>
    </row>
    <row r="78" spans="1:18" ht="20.45" customHeight="1">
      <c r="A78" s="124" t="s">
        <v>186</v>
      </c>
      <c r="D78" s="138">
        <v>-130048103</v>
      </c>
      <c r="E78" s="158"/>
      <c r="F78" s="138">
        <v>-2268005</v>
      </c>
      <c r="G78" s="134"/>
      <c r="H78" s="138">
        <v>-130048103</v>
      </c>
      <c r="I78" s="134"/>
      <c r="J78" s="138">
        <v>0</v>
      </c>
      <c r="M78" s="134"/>
      <c r="N78" s="134"/>
      <c r="Q78" s="134"/>
      <c r="R78" s="134"/>
    </row>
    <row r="79" spans="1:18" ht="20.45" customHeight="1">
      <c r="A79" s="119" t="s">
        <v>187</v>
      </c>
      <c r="D79" s="138">
        <f>SUM(D71:D78)</f>
        <v>-821412092</v>
      </c>
      <c r="E79" s="158"/>
      <c r="F79" s="138">
        <v>109599512</v>
      </c>
      <c r="G79" s="134"/>
      <c r="H79" s="138">
        <f>SUM(H71:H78)</f>
        <v>116711870</v>
      </c>
      <c r="I79" s="134"/>
      <c r="J79" s="138">
        <v>94588171</v>
      </c>
      <c r="M79" s="134"/>
      <c r="N79" s="134"/>
      <c r="Q79" s="134"/>
      <c r="R79" s="134"/>
    </row>
    <row r="80" spans="1:18" ht="20.45" customHeight="1">
      <c r="A80" s="124" t="s">
        <v>188</v>
      </c>
      <c r="D80" s="134"/>
      <c r="E80" s="158"/>
      <c r="F80" s="134"/>
      <c r="G80" s="134"/>
      <c r="H80" s="134"/>
      <c r="I80" s="134"/>
      <c r="J80" s="134"/>
      <c r="M80" s="134"/>
      <c r="N80" s="134"/>
      <c r="Q80" s="134"/>
      <c r="R80" s="134"/>
    </row>
    <row r="81" spans="1:18" ht="20.45" customHeight="1">
      <c r="A81" s="124" t="s">
        <v>189</v>
      </c>
      <c r="D81" s="138">
        <v>5512550</v>
      </c>
      <c r="E81" s="158"/>
      <c r="F81" s="138">
        <v>-11286774</v>
      </c>
      <c r="G81" s="134"/>
      <c r="H81" s="138">
        <f>+[8]CF!$CB$177</f>
        <v>0</v>
      </c>
      <c r="I81" s="134"/>
      <c r="J81" s="138">
        <v>0</v>
      </c>
      <c r="M81" s="134"/>
      <c r="N81" s="134"/>
      <c r="Q81" s="134"/>
      <c r="R81" s="134"/>
    </row>
    <row r="82" spans="1:18" ht="20.45" customHeight="1">
      <c r="A82" s="119" t="s">
        <v>190</v>
      </c>
      <c r="D82" s="134">
        <f>SUM(D50,D68,D79,D81)</f>
        <v>446526110</v>
      </c>
      <c r="E82" s="158"/>
      <c r="F82" s="134">
        <v>163193645</v>
      </c>
      <c r="G82" s="134"/>
      <c r="H82" s="134">
        <f>SUM(H50,H68,H79,H81)</f>
        <v>-103349824</v>
      </c>
      <c r="I82" s="134"/>
      <c r="J82" s="134">
        <f>SUM(J79+J68+J81+J50)</f>
        <v>2020167</v>
      </c>
      <c r="M82" s="134"/>
      <c r="N82" s="134"/>
      <c r="Q82" s="134"/>
      <c r="R82" s="134"/>
    </row>
    <row r="83" spans="1:18" ht="20.45" customHeight="1">
      <c r="A83" s="124" t="s">
        <v>191</v>
      </c>
      <c r="D83" s="138">
        <v>731928991</v>
      </c>
      <c r="E83" s="158"/>
      <c r="F83" s="138">
        <v>568735346</v>
      </c>
      <c r="G83" s="134"/>
      <c r="H83" s="138">
        <f>J84</f>
        <v>148700860</v>
      </c>
      <c r="I83" s="134"/>
      <c r="J83" s="138">
        <v>146680693</v>
      </c>
      <c r="M83" s="134"/>
      <c r="N83" s="134"/>
      <c r="Q83" s="134"/>
      <c r="R83" s="134"/>
    </row>
    <row r="84" spans="1:18" ht="20.45" customHeight="1" thickBot="1">
      <c r="A84" s="119" t="s">
        <v>229</v>
      </c>
      <c r="B84" s="145"/>
      <c r="D84" s="146">
        <f>SUM(D82:D83)</f>
        <v>1178455101</v>
      </c>
      <c r="E84" s="158"/>
      <c r="F84" s="146">
        <f>SUM(F82:F83)</f>
        <v>731928991</v>
      </c>
      <c r="G84" s="134"/>
      <c r="H84" s="146">
        <f>SUM(H82:H83)</f>
        <v>45351036</v>
      </c>
      <c r="I84" s="134"/>
      <c r="J84" s="146">
        <f>SUM(J82:J83)</f>
        <v>148700860</v>
      </c>
      <c r="M84" s="134"/>
      <c r="N84" s="134"/>
      <c r="Q84" s="134"/>
      <c r="R84" s="134"/>
    </row>
    <row r="85" spans="1:18" ht="20.45" customHeight="1" thickTop="1">
      <c r="D85" s="135">
        <f>SUM(D84-bs!D9)</f>
        <v>0</v>
      </c>
      <c r="E85" s="159"/>
      <c r="F85" s="135"/>
      <c r="G85" s="135"/>
      <c r="H85" s="135">
        <f>SUM(H84-bs!H9)</f>
        <v>0</v>
      </c>
      <c r="I85" s="135"/>
      <c r="J85" s="135"/>
      <c r="M85" s="134"/>
      <c r="N85" s="134"/>
      <c r="Q85" s="134"/>
      <c r="R85" s="134"/>
    </row>
    <row r="86" spans="1:18" ht="20.45" customHeight="1">
      <c r="A86" s="119" t="s">
        <v>192</v>
      </c>
      <c r="D86" s="134"/>
      <c r="E86" s="158"/>
      <c r="F86" s="134"/>
      <c r="G86" s="134"/>
      <c r="H86" s="134"/>
      <c r="I86" s="134"/>
      <c r="J86" s="134"/>
      <c r="M86" s="134"/>
      <c r="N86" s="134"/>
      <c r="Q86" s="134"/>
      <c r="R86" s="134"/>
    </row>
    <row r="87" spans="1:18" ht="20.45" customHeight="1">
      <c r="A87" s="124" t="s">
        <v>193</v>
      </c>
      <c r="D87" s="134"/>
      <c r="E87" s="158"/>
      <c r="F87" s="134"/>
      <c r="G87" s="134"/>
      <c r="H87" s="134"/>
      <c r="I87" s="134"/>
      <c r="J87" s="134"/>
      <c r="M87" s="134"/>
      <c r="N87" s="134"/>
      <c r="Q87" s="134"/>
      <c r="R87" s="134"/>
    </row>
    <row r="88" spans="1:18" ht="20.45" customHeight="1">
      <c r="A88" s="124" t="s">
        <v>228</v>
      </c>
      <c r="D88" s="134">
        <v>-3932685</v>
      </c>
      <c r="E88" s="158"/>
      <c r="F88" s="134">
        <v>5414288</v>
      </c>
      <c r="G88" s="134"/>
      <c r="H88" s="134">
        <v>0</v>
      </c>
      <c r="I88" s="134"/>
      <c r="J88" s="134">
        <v>0</v>
      </c>
      <c r="M88" s="134"/>
      <c r="N88" s="134"/>
      <c r="Q88" s="134"/>
      <c r="R88" s="134"/>
    </row>
    <row r="89" spans="1:18" ht="20.45" customHeight="1">
      <c r="A89" s="124" t="s">
        <v>194</v>
      </c>
      <c r="D89" s="134">
        <v>55041411</v>
      </c>
      <c r="E89" s="158"/>
      <c r="F89" s="134">
        <v>28172839</v>
      </c>
      <c r="G89" s="134"/>
      <c r="H89" s="134">
        <v>0</v>
      </c>
      <c r="I89" s="134"/>
      <c r="J89" s="134">
        <v>0</v>
      </c>
      <c r="M89" s="134"/>
      <c r="N89" s="134"/>
      <c r="Q89" s="134"/>
      <c r="R89" s="134"/>
    </row>
    <row r="90" spans="1:18" ht="20.45" customHeight="1">
      <c r="A90" s="124" t="s">
        <v>195</v>
      </c>
      <c r="D90" s="134">
        <v>4530345</v>
      </c>
      <c r="E90" s="158"/>
      <c r="F90" s="134">
        <v>12736763</v>
      </c>
      <c r="G90" s="134"/>
      <c r="H90" s="134">
        <v>0</v>
      </c>
      <c r="I90" s="134"/>
      <c r="J90" s="134">
        <v>0</v>
      </c>
      <c r="M90" s="134"/>
      <c r="N90" s="134"/>
      <c r="Q90" s="134"/>
      <c r="R90" s="134"/>
    </row>
    <row r="91" spans="1:18" ht="20.45" customHeight="1">
      <c r="A91" s="124" t="s">
        <v>201</v>
      </c>
      <c r="D91" s="134">
        <v>52662784</v>
      </c>
      <c r="E91" s="158"/>
      <c r="F91" s="134">
        <v>11850872</v>
      </c>
      <c r="G91" s="134"/>
      <c r="H91" s="134">
        <v>4765192</v>
      </c>
      <c r="I91" s="134"/>
      <c r="J91" s="134">
        <v>1789557</v>
      </c>
      <c r="M91" s="134"/>
      <c r="N91" s="134"/>
      <c r="Q91" s="134"/>
      <c r="R91" s="134"/>
    </row>
    <row r="92" spans="1:18" ht="20.45" customHeight="1">
      <c r="A92" s="124" t="s">
        <v>196</v>
      </c>
      <c r="D92" s="134"/>
      <c r="E92" s="158"/>
      <c r="F92" s="134"/>
      <c r="G92" s="134"/>
      <c r="H92" s="134"/>
      <c r="I92" s="134"/>
      <c r="J92" s="134"/>
      <c r="M92" s="134"/>
      <c r="N92" s="134"/>
      <c r="Q92" s="134"/>
      <c r="R92" s="134"/>
    </row>
    <row r="93" spans="1:18" ht="20.45" customHeight="1">
      <c r="A93" s="124" t="s">
        <v>197</v>
      </c>
      <c r="D93" s="134">
        <v>89865224</v>
      </c>
      <c r="E93" s="158"/>
      <c r="F93" s="134">
        <v>0</v>
      </c>
      <c r="G93" s="134"/>
      <c r="H93" s="134">
        <v>0</v>
      </c>
      <c r="I93" s="134"/>
      <c r="J93" s="134">
        <v>0</v>
      </c>
      <c r="M93" s="134"/>
      <c r="N93" s="134"/>
      <c r="Q93" s="134"/>
      <c r="R93" s="134"/>
    </row>
    <row r="94" spans="1:18" ht="20.45" customHeight="1">
      <c r="A94" s="124" t="s">
        <v>198</v>
      </c>
      <c r="D94" s="134"/>
      <c r="E94" s="158"/>
      <c r="F94" s="134"/>
      <c r="G94" s="134"/>
      <c r="H94" s="134"/>
      <c r="I94" s="134"/>
      <c r="J94" s="134"/>
      <c r="M94" s="134"/>
      <c r="N94" s="134"/>
      <c r="Q94" s="134"/>
      <c r="R94" s="134"/>
    </row>
    <row r="95" spans="1:18" ht="20.45" customHeight="1">
      <c r="A95" s="124" t="s">
        <v>199</v>
      </c>
      <c r="D95" s="134">
        <v>60893623</v>
      </c>
      <c r="E95" s="158"/>
      <c r="F95" s="134">
        <v>0</v>
      </c>
      <c r="G95" s="134"/>
      <c r="H95" s="134">
        <v>0</v>
      </c>
      <c r="I95" s="134"/>
      <c r="J95" s="134">
        <v>0</v>
      </c>
      <c r="M95" s="134"/>
      <c r="N95" s="134"/>
      <c r="Q95" s="134"/>
      <c r="R95" s="134"/>
    </row>
    <row r="96" spans="1:18" ht="20.45" customHeight="1">
      <c r="A96" s="124" t="s">
        <v>200</v>
      </c>
      <c r="D96" s="134"/>
      <c r="E96" s="158"/>
      <c r="F96" s="134"/>
      <c r="G96" s="134"/>
      <c r="H96" s="134"/>
      <c r="I96" s="134"/>
      <c r="J96" s="134"/>
      <c r="M96" s="134"/>
      <c r="N96" s="134"/>
      <c r="Q96" s="134"/>
      <c r="R96" s="134"/>
    </row>
    <row r="97" spans="1:18" ht="20.45" customHeight="1">
      <c r="A97" s="124" t="s">
        <v>197</v>
      </c>
      <c r="D97" s="134">
        <v>0</v>
      </c>
      <c r="E97" s="158"/>
      <c r="F97" s="134">
        <v>28353725</v>
      </c>
      <c r="G97" s="134"/>
      <c r="H97" s="134">
        <v>0</v>
      </c>
      <c r="I97" s="134"/>
      <c r="J97" s="134">
        <v>0</v>
      </c>
      <c r="M97" s="134"/>
      <c r="N97" s="134"/>
      <c r="Q97" s="134"/>
      <c r="R97" s="134"/>
    </row>
    <row r="98" spans="1:18" ht="20.45" customHeight="1">
      <c r="A98" s="124" t="s">
        <v>202</v>
      </c>
      <c r="D98" s="134"/>
      <c r="E98" s="158"/>
      <c r="F98" s="134"/>
      <c r="G98" s="134"/>
      <c r="H98" s="134"/>
      <c r="I98" s="134"/>
      <c r="J98" s="134"/>
      <c r="M98" s="134"/>
      <c r="N98" s="134"/>
      <c r="Q98" s="134"/>
      <c r="R98" s="134"/>
    </row>
    <row r="99" spans="1:18" ht="20.45" customHeight="1">
      <c r="A99" s="124" t="s">
        <v>205</v>
      </c>
      <c r="D99" s="134">
        <v>0</v>
      </c>
      <c r="E99" s="158"/>
      <c r="F99" s="134">
        <v>125500000</v>
      </c>
      <c r="G99" s="134"/>
      <c r="H99" s="134">
        <v>0</v>
      </c>
      <c r="I99" s="134"/>
      <c r="J99" s="134">
        <v>20000000</v>
      </c>
      <c r="M99" s="134"/>
      <c r="N99" s="134"/>
      <c r="Q99" s="134"/>
      <c r="R99" s="134"/>
    </row>
    <row r="100" spans="1:18" ht="20.45" customHeight="1">
      <c r="A100" s="124" t="s">
        <v>257</v>
      </c>
      <c r="M100" s="134"/>
      <c r="N100" s="134"/>
      <c r="Q100" s="134"/>
      <c r="R100" s="134"/>
    </row>
    <row r="101" spans="1:18" ht="20.45" customHeight="1">
      <c r="A101" s="124" t="s">
        <v>270</v>
      </c>
      <c r="D101" s="134">
        <v>14318337</v>
      </c>
      <c r="E101" s="158"/>
      <c r="F101" s="134">
        <v>0</v>
      </c>
      <c r="G101" s="134"/>
      <c r="H101" s="134">
        <v>0</v>
      </c>
      <c r="I101" s="134"/>
      <c r="J101" s="134">
        <v>0</v>
      </c>
      <c r="M101" s="134"/>
      <c r="N101" s="134"/>
      <c r="Q101" s="134"/>
      <c r="R101" s="134"/>
    </row>
    <row r="102" spans="1:18" ht="20.45" customHeight="1">
      <c r="E102" s="158"/>
      <c r="F102" s="134"/>
      <c r="G102" s="134"/>
      <c r="I102" s="134"/>
      <c r="J102" s="134"/>
      <c r="M102" s="134"/>
      <c r="N102" s="134"/>
      <c r="Q102" s="134"/>
      <c r="R102" s="134"/>
    </row>
    <row r="103" spans="1:18" ht="20.45" customHeight="1">
      <c r="A103" s="124" t="s">
        <v>18</v>
      </c>
      <c r="E103" s="164"/>
      <c r="G103" s="125"/>
      <c r="I103" s="125"/>
    </row>
  </sheetData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859D48-4A0F-4D3E-AED8-595E3B5D32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054341-F689-4E15-9FC4-4D0FD0807306}">
  <ds:schemaRefs>
    <ds:schemaRef ds:uri="http://schemas.microsoft.com/office/infopath/2007/PartnerControls"/>
    <ds:schemaRef ds:uri="http://purl.org/dc/elements/1.1/"/>
    <ds:schemaRef ds:uri="http://purl.org/dc/terms/"/>
    <ds:schemaRef ds:uri="0025b2a6-f8d9-4a47-85ad-10799d383e76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035936da-f762-4330-9b9a-976de9613cd5"/>
    <ds:schemaRef ds:uri="http://purl.org/dc/dcmitype/"/>
    <ds:schemaRef ds:uri="50c908b1-f277-4340-90a9-4611d0b0f07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4C39329-EEF8-4692-B39E-DAA32A13E3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</vt:lpstr>
      <vt:lpstr>ce-company</vt:lpstr>
      <vt:lpstr>FS - cash flow </vt:lpstr>
      <vt:lpstr>bs!Print_Area</vt:lpstr>
      <vt:lpstr>'ce-company'!Print_Area</vt:lpstr>
      <vt:lpstr>'ce-conso'!Print_Area</vt:lpstr>
      <vt:lpstr>'FS - cash flow '!Print_Area</vt:lpstr>
      <vt:lpstr>pl!Print_Area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Usanee Sahapatsombat</cp:lastModifiedBy>
  <cp:lastPrinted>2023-02-21T12:09:22Z</cp:lastPrinted>
  <dcterms:created xsi:type="dcterms:W3CDTF">2011-11-24T09:12:20Z</dcterms:created>
  <dcterms:modified xsi:type="dcterms:W3CDTF">2023-02-21T12:09:30Z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