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19\YE12'19\"/>
    </mc:Choice>
  </mc:AlternateContent>
  <xr:revisionPtr revIDLastSave="0" documentId="13_ncr:1_{3F708E25-58F9-4AF0-9C56-879FA1057F7B}" xr6:coauthVersionLast="36" xr6:coauthVersionMax="36" xr10:uidLastSave="{00000000-0000-0000-0000-000000000000}"/>
  <bookViews>
    <workbookView xWindow="0" yWindow="0" windowWidth="12900" windowHeight="5655" tabRatio="538" activeTab="2" xr2:uid="{00000000-000D-0000-FFFF-FFFF00000000}"/>
  </bookViews>
  <sheets>
    <sheet name="bs" sheetId="4" r:id="rId1"/>
    <sheet name="pl" sheetId="1" r:id="rId2"/>
    <sheet name="ce-conso" sheetId="7" r:id="rId3"/>
    <sheet name="ce-company" sheetId="8" r:id="rId4"/>
    <sheet name="cash flow" sheetId="9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.._Specification_name__P_L">[1]Sheet1!$A$1</definedName>
    <definedName name="__dkd1" localSheetId="4">IF(#REF!&lt;=5,INDEX(#REF!,(#REF!*5)-4),#REF!)</definedName>
    <definedName name="__dkd1">IF(#REF!&lt;=5,INDEX(#REF!,(#REF!*5)-4),#REF!)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4">IF(#REF!&lt;=5,INDEX(#REF!,(#REF!*5)-4),#REF!)</definedName>
    <definedName name="__rik1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4">#REF!</definedName>
    <definedName name="_fs2001">#REF!</definedName>
    <definedName name="_Order1" hidden="1">255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4">IF(#REF!&lt;=5,INDEX(#REF!,(#REF!*5)-4),#REF!)</definedName>
    <definedName name="_rik1">IF(#REF!&lt;=5,INDEX(#REF!,(#REF!*5)-4),#REF!)</definedName>
    <definedName name="a" localSheetId="4">#REF!</definedName>
    <definedName name="a">#REF!</definedName>
    <definedName name="aa" localSheetId="4">#REF!</definedName>
    <definedName name="aa">#REF!</definedName>
    <definedName name="aaa" localSheetId="4">IF(#REF!&lt;=5,INDEX(#REF!,(#REF!*5)-4),#REF!)</definedName>
    <definedName name="aaa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4">IF(#REF!&lt;=5,INDEX(#REF!,(#REF!*5)-4),#REF!)</definedName>
    <definedName name="dkd">IF(#REF!&lt;=5,INDEX(#REF!,(#REF!*5)-4),#REF!)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4">#REF!</definedName>
    <definedName name="fs">#REF!</definedName>
    <definedName name="gg" localSheetId="4">IF(#REF!&lt;=5,INDEX(#REF!,(#REF!*5)-4),#REF!)</definedName>
    <definedName name="gg">IF(#REF!&lt;=5,INDEX(#REF!,(#REF!*5)-4),#REF!)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bs!$A$1:$M$91</definedName>
    <definedName name="_xlnm.Print_Area" localSheetId="4">'cash flow'!$A$1:$J$105</definedName>
    <definedName name="_xlnm.Print_Area" localSheetId="3">'ce-company'!$A$1:$R$28</definedName>
    <definedName name="_xlnm.Print_Area" localSheetId="2">'ce-conso'!$A$1:$AB$41</definedName>
    <definedName name="_xlnm.Print_Area" localSheetId="1">pl!$A$1:$J$74</definedName>
    <definedName name="ratio">IF('[5]#REF'!$A$5&lt;=5,INDEX('[5]#REF'!F1:AC1,('[5]#REF'!$A$5*5)-4),'[5]#REF'!N1)</definedName>
    <definedName name="ratio1">IF('[5]#REF'!$A$5&lt;=5,INDEX('[5]#REF'!F1:AC1,('[5]#REF'!$A$5*5)-4),'[5]#REF'!R1)</definedName>
    <definedName name="ratio2">IF('[5]#REF'!$A$5&lt;=5,INDEX('[5]#REF'!F1:AC1,('[5]#REF'!$A$5*5)-4),'[5]#REF'!V1)</definedName>
    <definedName name="ratio3">IF('[5]#REF'!$A$5&lt;=5,INDEX('[5]#REF'!F1:AC1,('[5]#REF'!$A$5*5)-4),'[5]#REF'!Z1)</definedName>
    <definedName name="report">'[2]FA(NEW)'!$E$5:$G$45</definedName>
    <definedName name="rik" localSheetId="4">IF(#REF!&lt;=5,INDEX(#REF!,(#REF!*5)-4),#REF!)</definedName>
    <definedName name="rik">IF(#REF!&lt;=5,INDEX(#REF!,(#REF!*5)-4),#REF!)</definedName>
    <definedName name="twpl" localSheetId="4">#REF!</definedName>
    <definedName name="twpl">#REF!</definedName>
    <definedName name="variance">'[2]FA(NEW)'!$BI$5:$CF$44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36" i="7" l="1"/>
  <c r="X36" i="7" s="1"/>
  <c r="AB36" i="7" s="1"/>
  <c r="N31" i="7" l="1"/>
  <c r="J76" i="4" l="1"/>
  <c r="H19" i="1"/>
  <c r="Z32" i="7"/>
  <c r="Z19" i="7"/>
  <c r="N19" i="7"/>
  <c r="F31" i="1"/>
  <c r="F33" i="1" s="1"/>
  <c r="F18" i="1"/>
  <c r="J12" i="4"/>
  <c r="J16" i="4"/>
  <c r="D31" i="4"/>
  <c r="H64" i="1" l="1"/>
  <c r="F64" i="1"/>
  <c r="D64" i="1"/>
  <c r="D57" i="1"/>
  <c r="D65" i="1" l="1"/>
  <c r="J47" i="4"/>
  <c r="H75" i="9" l="1"/>
  <c r="F12" i="1" l="1"/>
  <c r="H12" i="1" l="1"/>
  <c r="F13" i="1" l="1"/>
  <c r="R11" i="8" l="1"/>
  <c r="Z21" i="7"/>
  <c r="T21" i="7"/>
  <c r="T25" i="7" s="1"/>
  <c r="T27" i="7" s="1"/>
  <c r="R21" i="7"/>
  <c r="R25" i="7" s="1"/>
  <c r="R27" i="7" s="1"/>
  <c r="P21" i="7"/>
  <c r="P25" i="7" s="1"/>
  <c r="P27" i="7" s="1"/>
  <c r="N21" i="7"/>
  <c r="L21" i="7"/>
  <c r="L25" i="7" s="1"/>
  <c r="L27" i="7" s="1"/>
  <c r="J21" i="7"/>
  <c r="J25" i="7" s="1"/>
  <c r="J27" i="7" s="1"/>
  <c r="H21" i="7"/>
  <c r="H25" i="7" s="1"/>
  <c r="H27" i="7" s="1"/>
  <c r="F21" i="7"/>
  <c r="F25" i="7" s="1"/>
  <c r="F27" i="7" s="1"/>
  <c r="F30" i="7" s="1"/>
  <c r="Z30" i="7"/>
  <c r="N30" i="7"/>
  <c r="V29" i="7"/>
  <c r="X29" i="7" s="1"/>
  <c r="AB29" i="7" s="1"/>
  <c r="Z18" i="7"/>
  <c r="V18" i="7"/>
  <c r="N18" i="7"/>
  <c r="V17" i="7"/>
  <c r="X17" i="7" s="1"/>
  <c r="AB17" i="7" s="1"/>
  <c r="V15" i="7"/>
  <c r="X15" i="7" s="1"/>
  <c r="H78" i="4"/>
  <c r="H81" i="4" s="1"/>
  <c r="H62" i="4"/>
  <c r="H54" i="4"/>
  <c r="H32" i="4"/>
  <c r="H17" i="4"/>
  <c r="H33" i="4" s="1"/>
  <c r="H65" i="4" l="1"/>
  <c r="H82" i="4" s="1"/>
  <c r="H83" i="4" s="1"/>
  <c r="N25" i="7"/>
  <c r="N39" i="7" s="1"/>
  <c r="Z25" i="7"/>
  <c r="Z39" i="7" s="1"/>
  <c r="F39" i="7"/>
  <c r="H39" i="7"/>
  <c r="J39" i="7"/>
  <c r="L39" i="7"/>
  <c r="AB15" i="7"/>
  <c r="X18" i="7"/>
  <c r="H64" i="4"/>
  <c r="J85" i="9"/>
  <c r="J75" i="9"/>
  <c r="F85" i="9"/>
  <c r="F75" i="9"/>
  <c r="J34" i="9"/>
  <c r="F42" i="9"/>
  <c r="F34" i="9"/>
  <c r="F72" i="1"/>
  <c r="F57" i="1"/>
  <c r="F65" i="1" s="1"/>
  <c r="J20" i="1"/>
  <c r="J13" i="1"/>
  <c r="F36" i="1"/>
  <c r="F47" i="1"/>
  <c r="F20" i="1"/>
  <c r="L78" i="4"/>
  <c r="L81" i="4" s="1"/>
  <c r="L64" i="4"/>
  <c r="L54" i="4"/>
  <c r="L65" i="4" s="1"/>
  <c r="F78" i="4"/>
  <c r="F64" i="4"/>
  <c r="F54" i="4"/>
  <c r="F65" i="4" s="1"/>
  <c r="L32" i="4"/>
  <c r="L33" i="4" s="1"/>
  <c r="L17" i="4"/>
  <c r="F32" i="4"/>
  <c r="F17" i="4"/>
  <c r="R17" i="8"/>
  <c r="P17" i="8"/>
  <c r="T30" i="7"/>
  <c r="R30" i="7"/>
  <c r="L30" i="7"/>
  <c r="J30" i="7"/>
  <c r="H30" i="7"/>
  <c r="V24" i="7"/>
  <c r="X24" i="7" s="1"/>
  <c r="AB24" i="7" s="1"/>
  <c r="J22" i="1" l="1"/>
  <c r="J24" i="1" s="1"/>
  <c r="J26" i="1" s="1"/>
  <c r="J28" i="1" s="1"/>
  <c r="J31" i="1" s="1"/>
  <c r="J36" i="1" s="1"/>
  <c r="F33" i="4"/>
  <c r="L82" i="4"/>
  <c r="F22" i="1"/>
  <c r="F24" i="1" s="1"/>
  <c r="F26" i="1" s="1"/>
  <c r="F28" i="1" s="1"/>
  <c r="F81" i="4"/>
  <c r="F82" i="4" s="1"/>
  <c r="J9" i="9"/>
  <c r="J32" i="9" s="1"/>
  <c r="J48" i="9" s="1"/>
  <c r="J52" i="9" s="1"/>
  <c r="J88" i="9" s="1"/>
  <c r="J90" i="9" s="1"/>
  <c r="J91" i="9" s="1"/>
  <c r="F67" i="1"/>
  <c r="AB18" i="7"/>
  <c r="P30" i="7"/>
  <c r="V27" i="7"/>
  <c r="X27" i="7" s="1"/>
  <c r="AB27" i="7" s="1"/>
  <c r="J64" i="1"/>
  <c r="J57" i="1"/>
  <c r="H57" i="1"/>
  <c r="H65" i="1" s="1"/>
  <c r="J65" i="1" l="1"/>
  <c r="V30" i="7"/>
  <c r="F9" i="9"/>
  <c r="F32" i="9" s="1"/>
  <c r="F48" i="9" s="1"/>
  <c r="F52" i="9" s="1"/>
  <c r="F88" i="9" s="1"/>
  <c r="F90" i="9" s="1"/>
  <c r="F91" i="9" s="1"/>
  <c r="P24" i="8"/>
  <c r="P22" i="8"/>
  <c r="P21" i="8"/>
  <c r="P15" i="8"/>
  <c r="P13" i="8"/>
  <c r="P12" i="8"/>
  <c r="P11" i="8"/>
  <c r="X30" i="7" l="1"/>
  <c r="F23" i="8"/>
  <c r="H23" i="8"/>
  <c r="J23" i="8"/>
  <c r="N23" i="8"/>
  <c r="V37" i="7"/>
  <c r="X37" i="7" s="1"/>
  <c r="AB37" i="7" s="1"/>
  <c r="V34" i="7"/>
  <c r="X34" i="7" s="1"/>
  <c r="AB34" i="7" s="1"/>
  <c r="V32" i="7"/>
  <c r="X32" i="7" s="1"/>
  <c r="AB32" i="7" s="1"/>
  <c r="V31" i="7"/>
  <c r="X31" i="7" s="1"/>
  <c r="AB31" i="7" s="1"/>
  <c r="V23" i="7"/>
  <c r="X23" i="7" s="1"/>
  <c r="AB23" i="7" s="1"/>
  <c r="V22" i="7"/>
  <c r="X22" i="7" s="1"/>
  <c r="AB22" i="7" s="1"/>
  <c r="V20" i="7"/>
  <c r="X20" i="7" s="1"/>
  <c r="AB20" i="7" s="1"/>
  <c r="V19" i="7"/>
  <c r="AB30" i="7" l="1"/>
  <c r="X19" i="7"/>
  <c r="V21" i="7"/>
  <c r="V25" i="7" s="1"/>
  <c r="V39" i="7" s="1"/>
  <c r="V33" i="7"/>
  <c r="V38" i="7" s="1"/>
  <c r="F33" i="7"/>
  <c r="F38" i="7" s="1"/>
  <c r="H33" i="7"/>
  <c r="H38" i="7" s="1"/>
  <c r="J33" i="7"/>
  <c r="J38" i="7" s="1"/>
  <c r="L33" i="7"/>
  <c r="L38" i="7" s="1"/>
  <c r="N33" i="7"/>
  <c r="N38" i="7" s="1"/>
  <c r="N40" i="7" s="1"/>
  <c r="P33" i="7"/>
  <c r="P38" i="7" s="1"/>
  <c r="R33" i="7"/>
  <c r="R38" i="7" s="1"/>
  <c r="T33" i="7"/>
  <c r="T38" i="7" s="1"/>
  <c r="Z33" i="7"/>
  <c r="Z38" i="7" s="1"/>
  <c r="AB19" i="7" l="1"/>
  <c r="AB21" i="7" s="1"/>
  <c r="AB25" i="7" s="1"/>
  <c r="AB39" i="7" s="1"/>
  <c r="X21" i="7"/>
  <c r="X25" i="7" s="1"/>
  <c r="X39" i="7" s="1"/>
  <c r="F40" i="7"/>
  <c r="L40" i="7"/>
  <c r="W21" i="7"/>
  <c r="J40" i="7"/>
  <c r="Z40" i="7"/>
  <c r="H40" i="7"/>
  <c r="V40" i="7" l="1"/>
  <c r="X33" i="7"/>
  <c r="AB33" i="7"/>
  <c r="AB38" i="7" s="1"/>
  <c r="X38" i="7" l="1"/>
  <c r="R22" i="8"/>
  <c r="H85" i="9" l="1"/>
  <c r="H13" i="1"/>
  <c r="H20" i="1"/>
  <c r="J54" i="4"/>
  <c r="J65" i="4" s="1"/>
  <c r="J64" i="4"/>
  <c r="J78" i="4"/>
  <c r="J81" i="4" s="1"/>
  <c r="J17" i="4"/>
  <c r="J32" i="4"/>
  <c r="H22" i="1" l="1"/>
  <c r="H24" i="1" s="1"/>
  <c r="H26" i="1" s="1"/>
  <c r="H28" i="1" s="1"/>
  <c r="J82" i="4"/>
  <c r="J33" i="4"/>
  <c r="L21" i="8" l="1"/>
  <c r="L23" i="8" s="1"/>
  <c r="D75" i="9"/>
  <c r="H9" i="9" l="1"/>
  <c r="H32" i="9" s="1"/>
  <c r="H48" i="9" s="1"/>
  <c r="H52" i="9" s="1"/>
  <c r="H88" i="9" s="1"/>
  <c r="H90" i="9" s="1"/>
  <c r="R13" i="8" l="1"/>
  <c r="R12" i="8"/>
  <c r="R15" i="8"/>
  <c r="R21" i="8" l="1"/>
  <c r="R23" i="8" s="1"/>
  <c r="P23" i="8"/>
  <c r="N14" i="8"/>
  <c r="N18" i="8" s="1"/>
  <c r="L14" i="8"/>
  <c r="L18" i="8" s="1"/>
  <c r="J14" i="8"/>
  <c r="J18" i="8" s="1"/>
  <c r="H14" i="8"/>
  <c r="H18" i="8" s="1"/>
  <c r="F14" i="8"/>
  <c r="F18" i="8" s="1"/>
  <c r="P14" i="8"/>
  <c r="R14" i="8"/>
  <c r="P18" i="8" l="1"/>
  <c r="P20" i="8" s="1"/>
  <c r="P25" i="8" s="1"/>
  <c r="R18" i="8"/>
  <c r="F20" i="8"/>
  <c r="F25" i="8" s="1"/>
  <c r="J20" i="8"/>
  <c r="J25" i="8" s="1"/>
  <c r="L20" i="8"/>
  <c r="L83" i="4"/>
  <c r="F83" i="4"/>
  <c r="J47" i="1"/>
  <c r="L25" i="8" l="1"/>
  <c r="H20" i="8"/>
  <c r="N20" i="8"/>
  <c r="N25" i="8" s="1"/>
  <c r="L26" i="8"/>
  <c r="F26" i="8"/>
  <c r="J26" i="8"/>
  <c r="R20" i="8" l="1"/>
  <c r="H26" i="8"/>
  <c r="H25" i="8"/>
  <c r="P26" i="8" l="1"/>
  <c r="D20" i="1" l="1"/>
  <c r="D85" i="9" l="1"/>
  <c r="R26" i="8" l="1"/>
  <c r="D13" i="1"/>
  <c r="D22" i="1" s="1"/>
  <c r="R24" i="8"/>
  <c r="R25" i="8" s="1"/>
  <c r="D78" i="4"/>
  <c r="X40" i="7" s="1"/>
  <c r="D64" i="4"/>
  <c r="D72" i="1"/>
  <c r="D54" i="4"/>
  <c r="D65" i="4" s="1"/>
  <c r="D32" i="4"/>
  <c r="D17" i="4"/>
  <c r="D81" i="4" l="1"/>
  <c r="D33" i="4"/>
  <c r="D24" i="1"/>
  <c r="D26" i="1" s="1"/>
  <c r="D9" i="9" s="1"/>
  <c r="H91" i="9"/>
  <c r="D82" i="4" l="1"/>
  <c r="D83" i="4" s="1"/>
  <c r="AB40" i="7"/>
  <c r="D32" i="9"/>
  <c r="J83" i="4"/>
  <c r="H31" i="1"/>
  <c r="D28" i="1"/>
  <c r="D36" i="1" s="1"/>
  <c r="D48" i="9" l="1"/>
  <c r="D52" i="9" s="1"/>
  <c r="D88" i="9" s="1"/>
  <c r="D90" i="9" s="1"/>
  <c r="D91" i="9" s="1"/>
  <c r="H36" i="1"/>
  <c r="H47" i="1"/>
  <c r="D33" i="1"/>
  <c r="D47" i="1" l="1"/>
  <c r="L27" i="8"/>
  <c r="P27" i="8"/>
  <c r="R27" i="8"/>
  <c r="J27" i="8"/>
  <c r="H27" i="8"/>
  <c r="F27" i="8"/>
  <c r="H67" i="1"/>
  <c r="H70" i="1" s="1"/>
  <c r="J67" i="1"/>
  <c r="J70" i="1" s="1"/>
  <c r="D67" i="1" l="1"/>
  <c r="D73" i="1" s="1"/>
</calcChain>
</file>

<file path=xl/sharedStrings.xml><?xml version="1.0" encoding="utf-8"?>
<sst xmlns="http://schemas.openxmlformats.org/spreadsheetml/2006/main" count="372" uniqueCount="276">
  <si>
    <t>Laguna Resorts &amp; Hotels Public Company Limited and its subsidiaries</t>
  </si>
  <si>
    <t>(Unit: Baht)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</si>
  <si>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</si>
  <si>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</si>
  <si>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</si>
  <si>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</si>
  <si>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</si>
  <si>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</si>
  <si>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</si>
  <si>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</si>
  <si>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</si>
  <si>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 xml:space="preserve">Long-term trade accounts receivable </t>
  </si>
  <si>
    <t>Investments in subsidiaries</t>
  </si>
  <si>
    <t>Long-term loans to subsidiaries</t>
  </si>
  <si>
    <t>Goodwill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</si>
  <si>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</si>
  <si>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</si>
  <si>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</si>
  <si>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</si>
  <si>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</si>
  <si>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</si>
  <si>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Current portion of long-term loans from financial</t>
  </si>
  <si>
    <t xml:space="preserve">   institutions</t>
  </si>
  <si>
    <t>Other current liabilities</t>
  </si>
  <si>
    <t>Total current liabilities</t>
  </si>
  <si>
    <t>Non-current liabilities</t>
  </si>
  <si>
    <t>Long-term loans from financial institutions</t>
  </si>
  <si>
    <t xml:space="preserve">   - net of current portion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</si>
  <si>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</si>
  <si>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</si>
  <si>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</si>
  <si>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</si>
  <si>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</si>
  <si>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</si>
  <si>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</si>
  <si>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</si>
  <si>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</si>
  <si>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</si>
  <si>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</si>
  <si>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</si>
  <si>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</si>
  <si>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</si>
  <si>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</si>
  <si>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</si>
  <si>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</si>
  <si>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</si>
  <si>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</si>
  <si>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</si>
  <si>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</si>
  <si>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</si>
  <si>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</si>
  <si>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</si>
  <si>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</si>
  <si>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</si>
  <si>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 xml:space="preserve">   to net cash provided by (paid from) operating activities:</t>
  </si>
  <si>
    <t xml:space="preserve">   Depreciation</t>
  </si>
  <si>
    <t xml:space="preserve">   Amortisation of leasehold rights</t>
  </si>
  <si>
    <t xml:space="preserve">   Write off property, plant and equipment</t>
  </si>
  <si>
    <t xml:space="preserve">   Interest income</t>
  </si>
  <si>
    <t xml:space="preserve">   Interest expenses</t>
  </si>
  <si>
    <t xml:space="preserve">   operating assets and liabilities</t>
  </si>
  <si>
    <t>Operating assets (increase) decrease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</si>
  <si>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</si>
  <si>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</si>
  <si>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</si>
  <si>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</si>
  <si>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</si>
  <si>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</si>
  <si>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Other current liabilities</t>
  </si>
  <si>
    <t xml:space="preserve">   Other non-current liabilities</t>
  </si>
  <si>
    <t xml:space="preserve">   Cash received for interest income</t>
  </si>
  <si>
    <t xml:space="preserve">   Cash paid for interest expenses</t>
  </si>
  <si>
    <t>Cash flows from investing activities</t>
  </si>
  <si>
    <t>Cash received from sales of property, plant and equipment</t>
  </si>
  <si>
    <t>Cash flows from financing activities</t>
  </si>
  <si>
    <t>Payment of dividends</t>
  </si>
  <si>
    <t>Repayment of long-term loans from subsidiaries</t>
  </si>
  <si>
    <t>Draw down of long-term loans from financial institutions</t>
  </si>
  <si>
    <t>Repayment of long-term loans from financial institutions</t>
  </si>
  <si>
    <t>Cash and cash equivalents at beginning of year</t>
  </si>
  <si>
    <t>Cash and cash equivalents at end of year</t>
  </si>
  <si>
    <t>Supplemental cash flows information</t>
  </si>
  <si>
    <t>Non-cash items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</si>
  <si>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</si>
  <si>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</si>
  <si>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</si>
  <si>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</si>
  <si>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</si>
  <si>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</si>
  <si>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</si>
  <si>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</si>
  <si>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</si>
  <si>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</si>
  <si>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</si>
  <si>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</si>
  <si>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</si>
  <si>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Property development cost</t>
  </si>
  <si>
    <t>Investments in associates</t>
  </si>
  <si>
    <t xml:space="preserve">Other long-term investments </t>
  </si>
  <si>
    <t xml:space="preserve">Property, plant and equipment </t>
  </si>
  <si>
    <t>Investment properties</t>
  </si>
  <si>
    <t>Leasehold rights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</si>
  <si>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</si>
  <si>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</si>
  <si>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</si>
  <si>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</si>
  <si>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</si>
  <si>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</si>
  <si>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</si>
  <si>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</si>
  <si>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</si>
  <si>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</si>
  <si>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</si>
  <si>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</si>
  <si>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</si>
  <si>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</si>
  <si>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</si>
  <si>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</si>
  <si>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</si>
  <si>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</si>
  <si>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</si>
  <si>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</si>
  <si>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</si>
  <si>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</si>
  <si>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</si>
  <si>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 xml:space="preserve">Profit (loss) from operating activities before changes in </t>
  </si>
  <si>
    <t xml:space="preserve">   Trade and other receivables</t>
  </si>
  <si>
    <t xml:space="preserve">   Trade and other payables</t>
  </si>
  <si>
    <t>Equity attributable to owner of the Company</t>
  </si>
  <si>
    <t>Revenue</t>
  </si>
  <si>
    <t>Total revenue</t>
  </si>
  <si>
    <t>Income statement</t>
  </si>
  <si>
    <t>Cash flow statement</t>
  </si>
  <si>
    <t>Cash flow statement (continued)</t>
  </si>
  <si>
    <t>Statement of changes in shareholders' equity (continued)</t>
  </si>
  <si>
    <t>Advance received from customers</t>
  </si>
  <si>
    <t>Statement of changes in shareholders' equity</t>
  </si>
  <si>
    <t>Statement of financial position</t>
  </si>
  <si>
    <t>Statement of financial position (continued)</t>
  </si>
  <si>
    <t xml:space="preserve">   Advance received from customers</t>
  </si>
  <si>
    <t>Draw down of long-term loans from subsidiaries</t>
  </si>
  <si>
    <t>Statement of comprehensive income</t>
  </si>
  <si>
    <t>Equity attributable to</t>
  </si>
  <si>
    <t xml:space="preserve"> non-controlling</t>
  </si>
  <si>
    <t>Cash flows from operating activities</t>
  </si>
  <si>
    <t>Cash paid for acquisition of property, plant and equipment</t>
  </si>
  <si>
    <t xml:space="preserve">   statements in foreign currency</t>
  </si>
  <si>
    <t>Net exchange differences on translation of financial</t>
  </si>
  <si>
    <t xml:space="preserve">Equity attributable to non-controlling interests </t>
  </si>
  <si>
    <t xml:space="preserve">   of the subsidiaries</t>
  </si>
  <si>
    <t>Cash received from long-term loans to subsidiaries</t>
  </si>
  <si>
    <t>Cash paid for long-term loans to subsidiaries</t>
  </si>
  <si>
    <t>Income tax payable</t>
  </si>
  <si>
    <t>Income tax expenses</t>
  </si>
  <si>
    <t>Directors</t>
  </si>
  <si>
    <t xml:space="preserve">   Cash paid for income tax</t>
  </si>
  <si>
    <t>Deferred tax assets</t>
  </si>
  <si>
    <t>Deferred tax liabilities</t>
  </si>
  <si>
    <t>Current investment - short-term fixed deposit</t>
  </si>
  <si>
    <t>Other  components of shareholders' equity</t>
  </si>
  <si>
    <t>Other  comprehensive income</t>
  </si>
  <si>
    <t>Long-term loans from subsidiaries</t>
  </si>
  <si>
    <t>Revaluation</t>
  </si>
  <si>
    <t>surplus</t>
  </si>
  <si>
    <t xml:space="preserve">components of </t>
  </si>
  <si>
    <t>Long-term fixed deposit</t>
  </si>
  <si>
    <t>Other comprehensive income (loss) for the year</t>
  </si>
  <si>
    <t>Total comprehensive income (loss) for the year</t>
  </si>
  <si>
    <t>Total comprehensive income (loss) attributable to:</t>
  </si>
  <si>
    <t xml:space="preserve">Total comprehensive income (loss) for the year </t>
  </si>
  <si>
    <t>Profit for the year</t>
  </si>
  <si>
    <t xml:space="preserve">   to profit or loss in subsequent periods</t>
  </si>
  <si>
    <t>Other comprehensive income (loss):</t>
  </si>
  <si>
    <t>Cash paid for acquisition of investment properties</t>
  </si>
  <si>
    <t xml:space="preserve">   Reversal of revaluation surplus on disposal of assets</t>
  </si>
  <si>
    <t>Profit (loss) attributable to:</t>
  </si>
  <si>
    <t>Other comprehensive income (loss) to be reclassified</t>
  </si>
  <si>
    <t>Net cash flows from (used in) investing activities</t>
  </si>
  <si>
    <t>Share of other</t>
  </si>
  <si>
    <t>comprehensive</t>
  </si>
  <si>
    <t xml:space="preserve">   Amortisation of transaction costs related to debenture issuance</t>
  </si>
  <si>
    <t xml:space="preserve">      development cost</t>
  </si>
  <si>
    <t xml:space="preserve">   Interest recorded as property development cost</t>
  </si>
  <si>
    <t xml:space="preserve">   Loss (gain) on sales of property, plant and equipment</t>
  </si>
  <si>
    <t xml:space="preserve">   Provision for long-term employee benefits </t>
  </si>
  <si>
    <t>Short-term loans from financial institutions</t>
  </si>
  <si>
    <t>Current portion of unsecured debenture</t>
  </si>
  <si>
    <t>Exchange differences on translation of financial statements</t>
  </si>
  <si>
    <t xml:space="preserve">   Allowance for doubtful accounts (reversal)</t>
  </si>
  <si>
    <t>Profit before finance cost and income tax expenses</t>
  </si>
  <si>
    <t xml:space="preserve">   Dividend income from investments in subsidiaries</t>
  </si>
  <si>
    <t>Dividend received from investments in subsidiaries</t>
  </si>
  <si>
    <t>Adjustments to reconcile profit before income tax expenses</t>
  </si>
  <si>
    <t>Balance as at 1 January 2018</t>
  </si>
  <si>
    <t>Balance as at 31 December 2018</t>
  </si>
  <si>
    <t>Liquidation of subsidiary</t>
  </si>
  <si>
    <t xml:space="preserve">   Write off deposit for purchase of land</t>
  </si>
  <si>
    <t xml:space="preserve">   associates, finance cost and income tax expenses</t>
  </si>
  <si>
    <t>Profit (loss) before income tax expenses</t>
  </si>
  <si>
    <t>Profit (loss) for the year</t>
  </si>
  <si>
    <t>Profit (loss) attributable to equity holders of the Company</t>
  </si>
  <si>
    <t>Repayment of debenture</t>
  </si>
  <si>
    <t>Long-term provision - provision for legal cases</t>
  </si>
  <si>
    <t xml:space="preserve">Actuarial loss, net of income tax </t>
  </si>
  <si>
    <t xml:space="preserve">Reversal of revaluation surplus on disposal of assets </t>
  </si>
  <si>
    <t>Net cash flows from (used in) operating activities</t>
  </si>
  <si>
    <t>Net cash flows from (used in) financing activities</t>
  </si>
  <si>
    <t xml:space="preserve">income (loss) </t>
  </si>
  <si>
    <t>from associates</t>
  </si>
  <si>
    <t xml:space="preserve">      plant and equipment</t>
  </si>
  <si>
    <t xml:space="preserve">   Transfer of property, plant and equipment to property  </t>
  </si>
  <si>
    <t xml:space="preserve">   Transfer of property development cost to property,</t>
  </si>
  <si>
    <t>Other comprehensive income (loss) not to be reclassified</t>
  </si>
  <si>
    <t xml:space="preserve">Other comprehensive income (loss) not to be reclassified </t>
  </si>
  <si>
    <t xml:space="preserve">   to profit or loss in subsequent periods, net of income tax</t>
  </si>
  <si>
    <t>For the year ended 31 December 2019</t>
  </si>
  <si>
    <t>Balance as at 1 January 2019</t>
  </si>
  <si>
    <t>Balance as at 31 December 2019</t>
  </si>
  <si>
    <t>As at 31 December 2019</t>
  </si>
  <si>
    <t>31 December 2019</t>
  </si>
  <si>
    <t>1 January 2018</t>
  </si>
  <si>
    <t>(Restated)</t>
  </si>
  <si>
    <t>Balance as at 31 December 2017 - as previously reported</t>
  </si>
  <si>
    <t>Cumulative effects of the change in accounting policies due to</t>
  </si>
  <si>
    <t>Balance as at 31 December 2017 - as restated</t>
  </si>
  <si>
    <t>Balance as at 31 December 2018 - as previously reported</t>
  </si>
  <si>
    <t>Balance as at 31 December 2018 - as restated</t>
  </si>
  <si>
    <t xml:space="preserve">   Loss (gain) on revaluation of investment properties</t>
  </si>
  <si>
    <t xml:space="preserve">   Impairment of property, plant and equipment</t>
  </si>
  <si>
    <t xml:space="preserve">   Forfeited money from property units</t>
  </si>
  <si>
    <t xml:space="preserve">Cash flows from (used in) operating activities </t>
  </si>
  <si>
    <t>Increase in long-term fixed deposit</t>
  </si>
  <si>
    <t>Cash paid for acquisition of investment in associate</t>
  </si>
  <si>
    <t>Decrease in cash and cash equivalents from liquidation of subsidiary</t>
  </si>
  <si>
    <t>Increase (decrease) in short-term loans from financial institutions</t>
  </si>
  <si>
    <t xml:space="preserve">   Transfer of property development cost to investment properties</t>
  </si>
  <si>
    <t>31 December 2018</t>
  </si>
  <si>
    <t xml:space="preserve">   the adoption of new financial reporting standard (Note 4)</t>
  </si>
  <si>
    <t xml:space="preserve">   Cost to obtain contracts with customers</t>
  </si>
  <si>
    <t>Total comprehensive income (loss) for the year (restated)</t>
  </si>
  <si>
    <t xml:space="preserve">   Reduction of inventory to net realisable value (reversal)</t>
  </si>
  <si>
    <t xml:space="preserve">   Write off investment property</t>
  </si>
  <si>
    <t xml:space="preserve">   net of income tax</t>
  </si>
  <si>
    <t>Profit (loss) for the year (restated)</t>
  </si>
  <si>
    <t>Loss for the year</t>
  </si>
  <si>
    <t xml:space="preserve">Total comprehensive income for the year </t>
  </si>
  <si>
    <t>Cost to obtain contracts with customers</t>
  </si>
  <si>
    <t xml:space="preserve">   Addition of revaluation surplus on assets</t>
  </si>
  <si>
    <t xml:space="preserve">   Dividend income from investment in associates</t>
  </si>
  <si>
    <t>Dividend received from investment in associates</t>
  </si>
  <si>
    <t>27, 44</t>
  </si>
  <si>
    <t xml:space="preserve">Profit before share of profit from investments in </t>
  </si>
  <si>
    <t>Share of profit from investments in associates</t>
  </si>
  <si>
    <t xml:space="preserve">  in foreign currency, net of income tax</t>
  </si>
  <si>
    <t>Share of other comprehensive income (loss) from associates,</t>
  </si>
  <si>
    <t>Dividend paid (Note 37)</t>
  </si>
  <si>
    <t xml:space="preserve">Reversal of revaluation surplus on disposal of assets (Note 29) </t>
  </si>
  <si>
    <t xml:space="preserve">   (Note 29)</t>
  </si>
  <si>
    <t xml:space="preserve">   Share of profit from investments in associates</t>
  </si>
  <si>
    <t>Net increase (decrease) in cash and cash equivalents</t>
  </si>
  <si>
    <t xml:space="preserve">   Interest recorded as property, plant and equipment</t>
  </si>
  <si>
    <t>Change in revaluation of assets, net of income tax</t>
  </si>
  <si>
    <t xml:space="preserve">   Provision for legal cases (reversal)</t>
  </si>
  <si>
    <t>Draw down of long-term loan from related company</t>
  </si>
  <si>
    <t>Revenue from office rental operations</t>
  </si>
  <si>
    <t xml:space="preserve">   Cash paid for provision for long-term employee benefits</t>
  </si>
  <si>
    <t xml:space="preserve">   Settlement of long-term provision - provision for legal cases</t>
  </si>
  <si>
    <t xml:space="preserve">   Share of other comprehensive income (loss) from associates</t>
  </si>
  <si>
    <t>Revenue from hotel operations</t>
  </si>
  <si>
    <t>Revenue from property development operations</t>
  </si>
  <si>
    <t>Long-term loan from related company</t>
  </si>
  <si>
    <t>Long-term restricted deposits at financial institutions</t>
  </si>
  <si>
    <t>Decrease (increase) in current investment - short-term fixed deposit</t>
  </si>
  <si>
    <t>IIncrease in restricted deposits at financial institutions</t>
  </si>
  <si>
    <t>Subsidiaries paid dividends to non-controlling interests of subsidiaries</t>
  </si>
  <si>
    <t xml:space="preserve">   (Note 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</si>
</sst>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</numFmts>
  <fonts count="24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13.5"/>
      <name val="Angsana New"/>
      <family val="1"/>
    </font>
    <font>
      <sz val="11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3" fillId="2" borderId="0">
      <protection hidden="1"/>
    </xf>
    <xf numFmtId="166" fontId="14" fillId="0" borderId="0" applyFont="0" applyFill="0" applyBorder="0" applyAlignment="0" applyProtection="0"/>
    <xf numFmtId="37" fontId="15" fillId="0" borderId="0"/>
    <xf numFmtId="0" fontId="11" fillId="0" borderId="0"/>
    <xf numFmtId="9" fontId="1" fillId="0" borderId="0" applyFont="0" applyFill="0" applyBorder="0" applyAlignment="0" applyProtection="0"/>
    <xf numFmtId="37" fontId="16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1" fillId="0" borderId="0"/>
  </cellStyleXfs>
  <cellXfs count="146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6" fillId="0" borderId="0" xfId="6" applyFont="1" applyAlignment="1">
      <alignment vertical="center"/>
    </xf>
    <xf numFmtId="0" fontId="6" fillId="0" borderId="0" xfId="6" applyFont="1" applyFill="1" applyAlignment="1">
      <alignment vertical="center"/>
    </xf>
    <xf numFmtId="41" fontId="7" fillId="0" borderId="0" xfId="6" applyNumberFormat="1" applyFont="1" applyFill="1" applyAlignment="1">
      <alignment horizontal="right" vertical="center"/>
    </xf>
    <xf numFmtId="0" fontId="7" fillId="0" borderId="0" xfId="6" applyFont="1" applyAlignment="1">
      <alignment vertical="center"/>
    </xf>
    <xf numFmtId="0" fontId="7" fillId="0" borderId="0" xfId="6" applyFont="1" applyBorder="1" applyAlignment="1">
      <alignment vertical="center"/>
    </xf>
    <xf numFmtId="0" fontId="7" fillId="0" borderId="0" xfId="6" applyFont="1" applyFill="1" applyAlignment="1">
      <alignment vertical="center"/>
    </xf>
    <xf numFmtId="0" fontId="7" fillId="0" borderId="0" xfId="6" applyFont="1" applyFill="1" applyBorder="1" applyAlignment="1">
      <alignment vertical="center"/>
    </xf>
    <xf numFmtId="0" fontId="7" fillId="0" borderId="0" xfId="6" applyFont="1" applyAlignment="1">
      <alignment horizontal="right" vertical="center"/>
    </xf>
    <xf numFmtId="0" fontId="7" fillId="0" borderId="0" xfId="6" applyFont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7" fillId="3" borderId="0" xfId="6" applyFont="1" applyFill="1" applyBorder="1" applyAlignment="1">
      <alignment horizontal="center" vertical="center"/>
    </xf>
    <xf numFmtId="0" fontId="7" fillId="0" borderId="0" xfId="6" applyFont="1" applyFill="1" applyAlignment="1">
      <alignment horizontal="center" vertical="center"/>
    </xf>
    <xf numFmtId="0" fontId="7" fillId="3" borderId="0" xfId="6" applyFont="1" applyFill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41" fontId="7" fillId="0" borderId="0" xfId="0" applyNumberFormat="1" applyFont="1" applyBorder="1" applyAlignment="1">
      <alignment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1" xfId="0" applyNumberFormat="1" applyFont="1" applyBorder="1" applyAlignment="1">
      <alignment horizontal="left" vertical="center"/>
    </xf>
    <xf numFmtId="41" fontId="7" fillId="0" borderId="1" xfId="0" applyNumberFormat="1" applyFont="1" applyBorder="1" applyAlignment="1">
      <alignment horizontal="right" vertical="center"/>
    </xf>
    <xf numFmtId="41" fontId="7" fillId="0" borderId="1" xfId="0" applyNumberFormat="1" applyFont="1" applyFill="1" applyBorder="1" applyAlignment="1">
      <alignment horizontal="left" vertical="center"/>
    </xf>
    <xf numFmtId="41" fontId="7" fillId="0" borderId="5" xfId="0" applyNumberFormat="1" applyFont="1" applyBorder="1" applyAlignment="1">
      <alignment horizontal="right" vertical="center"/>
    </xf>
    <xf numFmtId="41" fontId="7" fillId="0" borderId="0" xfId="0" applyNumberFormat="1" applyFont="1" applyFill="1" applyBorder="1" applyAlignment="1">
      <alignment horizontal="left" vertical="center"/>
    </xf>
    <xf numFmtId="0" fontId="6" fillId="0" borderId="0" xfId="6" applyFont="1" applyFill="1" applyBorder="1" applyAlignment="1">
      <alignment vertical="center"/>
    </xf>
    <xf numFmtId="41" fontId="7" fillId="0" borderId="0" xfId="6" applyNumberFormat="1" applyFont="1" applyFill="1" applyBorder="1" applyAlignment="1">
      <alignment horizontal="right" vertical="center"/>
    </xf>
    <xf numFmtId="0" fontId="7" fillId="0" borderId="1" xfId="6" applyFont="1" applyFill="1" applyBorder="1" applyAlignment="1">
      <alignment horizontal="center" vertical="center"/>
    </xf>
    <xf numFmtId="0" fontId="7" fillId="0" borderId="0" xfId="6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3" fontId="3" fillId="0" borderId="3" xfId="1" applyFont="1" applyFill="1" applyBorder="1" applyAlignment="1">
      <alignment vertical="center"/>
    </xf>
    <xf numFmtId="43" fontId="3" fillId="0" borderId="0" xfId="1" applyFont="1" applyFill="1" applyAlignment="1">
      <alignment vertical="center"/>
    </xf>
    <xf numFmtId="41" fontId="7" fillId="0" borderId="0" xfId="6" applyNumberFormat="1" applyFont="1" applyAlignment="1">
      <alignment vertical="center"/>
    </xf>
    <xf numFmtId="41" fontId="7" fillId="0" borderId="0" xfId="6" applyNumberFormat="1" applyFont="1" applyBorder="1" applyAlignment="1">
      <alignment vertical="center"/>
    </xf>
    <xf numFmtId="41" fontId="7" fillId="0" borderId="0" xfId="0" applyNumberFormat="1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1" fontId="7" fillId="0" borderId="1" xfId="0" applyNumberFormat="1" applyFont="1" applyFill="1" applyBorder="1" applyAlignment="1">
      <alignment horizontal="right" vertical="center"/>
    </xf>
    <xf numFmtId="0" fontId="2" fillId="4" borderId="0" xfId="0" applyFont="1" applyFill="1" applyAlignment="1">
      <alignment vertical="center"/>
    </xf>
    <xf numFmtId="37" fontId="2" fillId="4" borderId="0" xfId="0" applyNumberFormat="1" applyFont="1" applyFill="1" applyAlignment="1">
      <alignment vertical="center"/>
    </xf>
    <xf numFmtId="0" fontId="3" fillId="4" borderId="0" xfId="0" applyFont="1" applyFill="1" applyAlignment="1">
      <alignment vertical="center"/>
    </xf>
    <xf numFmtId="37" fontId="3" fillId="4" borderId="0" xfId="0" applyNumberFormat="1" applyFont="1" applyFill="1" applyAlignment="1">
      <alignment vertical="center"/>
    </xf>
    <xf numFmtId="37" fontId="3" fillId="4" borderId="0" xfId="0" applyNumberFormat="1" applyFont="1" applyFill="1" applyAlignment="1">
      <alignment horizontal="right" vertical="center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0" xfId="0" quotePrefix="1" applyFont="1" applyFill="1" applyAlignment="1">
      <alignment horizontal="center" vertical="center"/>
    </xf>
    <xf numFmtId="0" fontId="4" fillId="4" borderId="0" xfId="0" quotePrefix="1" applyNumberFormat="1" applyFont="1" applyFill="1" applyAlignment="1">
      <alignment horizontal="center" vertical="center"/>
    </xf>
    <xf numFmtId="0" fontId="4" fillId="4" borderId="0" xfId="0" applyNumberFormat="1" applyFont="1" applyFill="1" applyAlignment="1">
      <alignment horizontal="center" vertical="center"/>
    </xf>
    <xf numFmtId="15" fontId="4" fillId="4" borderId="0" xfId="0" quotePrefix="1" applyNumberFormat="1" applyFont="1" applyFill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37" fontId="3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41" fontId="3" fillId="4" borderId="0" xfId="0" applyNumberFormat="1" applyFont="1" applyFill="1" applyAlignment="1">
      <alignment vertical="center"/>
    </xf>
    <xf numFmtId="41" fontId="3" fillId="4" borderId="0" xfId="0" applyNumberFormat="1" applyFont="1" applyFill="1" applyAlignment="1">
      <alignment horizontal="center" vertical="center"/>
    </xf>
    <xf numFmtId="41" fontId="3" fillId="4" borderId="1" xfId="0" applyNumberFormat="1" applyFont="1" applyFill="1" applyBorder="1" applyAlignment="1">
      <alignment vertical="center"/>
    </xf>
    <xf numFmtId="41" fontId="3" fillId="4" borderId="0" xfId="0" applyNumberFormat="1" applyFont="1" applyFill="1" applyBorder="1" applyAlignment="1">
      <alignment vertical="center"/>
    </xf>
    <xf numFmtId="41" fontId="3" fillId="4" borderId="2" xfId="0" applyNumberFormat="1" applyFont="1" applyFill="1" applyBorder="1" applyAlignment="1">
      <alignment vertical="center"/>
    </xf>
    <xf numFmtId="41" fontId="3" fillId="4" borderId="0" xfId="0" quotePrefix="1" applyNumberFormat="1" applyFont="1" applyFill="1" applyAlignment="1">
      <alignment horizontal="right" vertical="center"/>
    </xf>
    <xf numFmtId="41" fontId="3" fillId="4" borderId="0" xfId="7" applyNumberFormat="1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41" fontId="3" fillId="4" borderId="0" xfId="7" applyNumberFormat="1" applyFont="1" applyFill="1" applyAlignment="1">
      <alignment vertical="center"/>
    </xf>
    <xf numFmtId="41" fontId="3" fillId="4" borderId="3" xfId="0" applyNumberFormat="1" applyFont="1" applyFill="1" applyBorder="1" applyAlignment="1">
      <alignment vertical="center"/>
    </xf>
    <xf numFmtId="41" fontId="3" fillId="4" borderId="0" xfId="0" applyNumberFormat="1" applyFont="1" applyFill="1" applyAlignment="1">
      <alignment horizontal="right" vertical="center"/>
    </xf>
    <xf numFmtId="37" fontId="3" fillId="4" borderId="0" xfId="0" applyNumberFormat="1" applyFont="1" applyFill="1" applyBorder="1" applyAlignment="1">
      <alignment vertical="center"/>
    </xf>
    <xf numFmtId="0" fontId="5" fillId="4" borderId="0" xfId="0" applyFont="1" applyFill="1" applyAlignment="1">
      <alignment vertical="center"/>
    </xf>
    <xf numFmtId="164" fontId="3" fillId="4" borderId="0" xfId="1" applyNumberFormat="1" applyFont="1" applyFill="1" applyAlignment="1">
      <alignment vertical="center"/>
    </xf>
    <xf numFmtId="41" fontId="3" fillId="4" borderId="0" xfId="1" applyNumberFormat="1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2" fontId="3" fillId="4" borderId="0" xfId="0" applyNumberFormat="1" applyFont="1" applyFill="1" applyAlignment="1">
      <alignment vertical="center"/>
    </xf>
    <xf numFmtId="0" fontId="19" fillId="4" borderId="6" xfId="0" applyFont="1" applyFill="1" applyBorder="1" applyAlignment="1">
      <alignment vertical="center"/>
    </xf>
    <xf numFmtId="0" fontId="19" fillId="4" borderId="0" xfId="0" applyFont="1" applyFill="1" applyAlignment="1">
      <alignment vertical="center"/>
    </xf>
    <xf numFmtId="0" fontId="19" fillId="4" borderId="0" xfId="0" applyFont="1" applyFill="1" applyBorder="1" applyAlignment="1">
      <alignment vertical="center"/>
    </xf>
    <xf numFmtId="49" fontId="20" fillId="4" borderId="0" xfId="0" applyNumberFormat="1" applyFont="1" applyFill="1" applyAlignment="1">
      <alignment horizontal="center" vertical="center"/>
    </xf>
    <xf numFmtId="49" fontId="3" fillId="4" borderId="0" xfId="0" applyNumberFormat="1" applyFont="1" applyFill="1" applyAlignment="1">
      <alignment horizontal="center" vertical="center"/>
    </xf>
    <xf numFmtId="0" fontId="8" fillId="4" borderId="0" xfId="6" applyFont="1" applyFill="1" applyAlignment="1">
      <alignment vertical="center"/>
    </xf>
    <xf numFmtId="41" fontId="9" fillId="4" borderId="0" xfId="6" applyNumberFormat="1" applyFont="1" applyFill="1" applyAlignment="1">
      <alignment horizontal="right" vertical="center"/>
    </xf>
    <xf numFmtId="0" fontId="9" fillId="4" borderId="0" xfId="6" applyFont="1" applyFill="1" applyBorder="1" applyAlignment="1">
      <alignment vertical="center"/>
    </xf>
    <xf numFmtId="37" fontId="9" fillId="4" borderId="0" xfId="6" applyNumberFormat="1" applyFont="1" applyFill="1" applyAlignment="1">
      <alignment horizontal="right" vertical="center"/>
    </xf>
    <xf numFmtId="0" fontId="9" fillId="4" borderId="0" xfId="6" applyFont="1" applyFill="1" applyAlignment="1">
      <alignment vertical="center"/>
    </xf>
    <xf numFmtId="0" fontId="9" fillId="4" borderId="0" xfId="6" applyFont="1" applyFill="1" applyBorder="1" applyAlignment="1">
      <alignment horizontal="center" vertical="center"/>
    </xf>
    <xf numFmtId="0" fontId="9" fillId="4" borderId="0" xfId="6" applyFont="1" applyFill="1" applyAlignment="1">
      <alignment horizontal="center" vertical="center"/>
    </xf>
    <xf numFmtId="0" fontId="9" fillId="4" borderId="0" xfId="12" applyFont="1" applyFill="1" applyBorder="1" applyAlignment="1">
      <alignment horizontal="center" vertical="center"/>
    </xf>
    <xf numFmtId="0" fontId="9" fillId="4" borderId="0" xfId="12" applyFont="1" applyFill="1" applyAlignment="1">
      <alignment horizontal="center" vertical="center"/>
    </xf>
    <xf numFmtId="0" fontId="9" fillId="4" borderId="1" xfId="6" applyFont="1" applyFill="1" applyBorder="1" applyAlignment="1">
      <alignment horizontal="center" vertical="center"/>
    </xf>
    <xf numFmtId="41" fontId="9" fillId="4" borderId="0" xfId="0" applyNumberFormat="1" applyFont="1" applyFill="1" applyBorder="1" applyAlignment="1">
      <alignment horizontal="right" vertical="center"/>
    </xf>
    <xf numFmtId="41" fontId="9" fillId="4" borderId="0" xfId="0" applyNumberFormat="1" applyFont="1" applyFill="1" applyBorder="1" applyAlignment="1">
      <alignment vertical="center"/>
    </xf>
    <xf numFmtId="41" fontId="9" fillId="4" borderId="1" xfId="0" applyNumberFormat="1" applyFont="1" applyFill="1" applyBorder="1" applyAlignment="1">
      <alignment horizontal="right" vertical="center"/>
    </xf>
    <xf numFmtId="41" fontId="9" fillId="4" borderId="1" xfId="0" applyNumberFormat="1" applyFont="1" applyFill="1" applyBorder="1" applyAlignment="1">
      <alignment vertical="center"/>
    </xf>
    <xf numFmtId="0" fontId="10" fillId="4" borderId="0" xfId="6" applyFont="1" applyFill="1" applyAlignment="1">
      <alignment horizontal="center" vertical="center"/>
    </xf>
    <xf numFmtId="41" fontId="9" fillId="4" borderId="0" xfId="0" applyNumberFormat="1" applyFont="1" applyFill="1" applyAlignment="1">
      <alignment vertical="center"/>
    </xf>
    <xf numFmtId="41" fontId="9" fillId="4" borderId="0" xfId="0" applyNumberFormat="1" applyFont="1" applyFill="1" applyBorder="1" applyAlignment="1">
      <alignment horizontal="left" vertical="center"/>
    </xf>
    <xf numFmtId="41" fontId="9" fillId="4" borderId="0" xfId="1" applyNumberFormat="1" applyFont="1" applyFill="1" applyBorder="1" applyAlignment="1">
      <alignment vertical="center"/>
    </xf>
    <xf numFmtId="41" fontId="9" fillId="4" borderId="1" xfId="0" applyNumberFormat="1" applyFont="1" applyFill="1" applyBorder="1" applyAlignment="1">
      <alignment horizontal="left" vertical="center"/>
    </xf>
    <xf numFmtId="41" fontId="9" fillId="4" borderId="1" xfId="1" applyNumberFormat="1" applyFont="1" applyFill="1" applyBorder="1" applyAlignment="1">
      <alignment vertical="center"/>
    </xf>
    <xf numFmtId="0" fontId="22" fillId="4" borderId="0" xfId="6" applyFont="1" applyFill="1" applyAlignment="1">
      <alignment vertical="center"/>
    </xf>
    <xf numFmtId="0" fontId="23" fillId="4" borderId="0" xfId="6" applyFont="1" applyFill="1" applyAlignment="1">
      <alignment horizontal="center" vertical="center"/>
    </xf>
    <xf numFmtId="41" fontId="22" fillId="4" borderId="0" xfId="0" applyNumberFormat="1" applyFont="1" applyFill="1" applyBorder="1" applyAlignment="1">
      <alignment horizontal="right" vertical="center"/>
    </xf>
    <xf numFmtId="41" fontId="22" fillId="4" borderId="0" xfId="0" applyNumberFormat="1" applyFont="1" applyFill="1" applyAlignment="1">
      <alignment vertical="center"/>
    </xf>
    <xf numFmtId="41" fontId="22" fillId="4" borderId="0" xfId="0" applyNumberFormat="1" applyFont="1" applyFill="1" applyBorder="1" applyAlignment="1">
      <alignment vertical="center"/>
    </xf>
    <xf numFmtId="41" fontId="9" fillId="4" borderId="5" xfId="0" applyNumberFormat="1" applyFont="1" applyFill="1" applyBorder="1" applyAlignment="1">
      <alignment horizontal="right" vertical="center"/>
    </xf>
    <xf numFmtId="41" fontId="9" fillId="4" borderId="0" xfId="6" applyNumberFormat="1" applyFont="1" applyFill="1" applyBorder="1" applyAlignment="1">
      <alignment horizontal="right" vertical="center"/>
    </xf>
    <xf numFmtId="41" fontId="9" fillId="4" borderId="0" xfId="6" applyNumberFormat="1" applyFont="1" applyFill="1" applyBorder="1" applyAlignment="1">
      <alignment vertical="center"/>
    </xf>
    <xf numFmtId="41" fontId="9" fillId="4" borderId="4" xfId="0" applyNumberFormat="1" applyFont="1" applyFill="1" applyBorder="1" applyAlignment="1">
      <alignment vertical="center"/>
    </xf>
    <xf numFmtId="0" fontId="7" fillId="3" borderId="1" xfId="6" applyFont="1" applyFill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 wrapText="1"/>
    </xf>
    <xf numFmtId="0" fontId="7" fillId="0" borderId="0" xfId="6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9" fillId="4" borderId="1" xfId="6" applyFont="1" applyFill="1" applyBorder="1" applyAlignment="1">
      <alignment horizontal="center" vertical="center"/>
    </xf>
    <xf numFmtId="0" fontId="9" fillId="4" borderId="2" xfId="6" applyFont="1" applyFill="1" applyBorder="1" applyAlignment="1">
      <alignment horizontal="center" vertical="center"/>
    </xf>
    <xf numFmtId="0" fontId="8" fillId="4" borderId="1" xfId="6" applyFont="1" applyFill="1" applyBorder="1" applyAlignment="1">
      <alignment horizontal="center" vertical="center"/>
    </xf>
    <xf numFmtId="0" fontId="6" fillId="0" borderId="1" xfId="6" applyFont="1" applyBorder="1" applyAlignment="1">
      <alignment horizontal="center" vertical="center"/>
    </xf>
    <xf numFmtId="0" fontId="7" fillId="3" borderId="1" xfId="6" applyFont="1" applyFill="1" applyBorder="1" applyAlignment="1">
      <alignment horizontal="center" vertical="center"/>
    </xf>
    <xf numFmtId="0" fontId="7" fillId="0" borderId="2" xfId="6" applyFont="1" applyFill="1" applyBorder="1" applyAlignment="1">
      <alignment horizontal="center" vertical="center"/>
    </xf>
  </cellXfs>
  <cellStyles count="13">
    <cellStyle name="Comma" xfId="1" builtinId="3"/>
    <cellStyle name="Comma 2" xfId="2" xr:uid="{00000000-0005-0000-0000-000001000000}"/>
    <cellStyle name="Custom" xfId="3" xr:uid="{00000000-0005-0000-0000-000002000000}"/>
    <cellStyle name="Euro" xfId="4" xr:uid="{00000000-0005-0000-0000-000003000000}"/>
    <cellStyle name="no dec" xfId="5" xr:uid="{00000000-0005-0000-0000-000004000000}"/>
    <cellStyle name="Normal" xfId="0" builtinId="0"/>
    <cellStyle name="Normal 2" xfId="6" xr:uid="{00000000-0005-0000-0000-000006000000}"/>
    <cellStyle name="Normal 3" xfId="11" xr:uid="{00000000-0005-0000-0000-000007000000}"/>
    <cellStyle name="Normal_Xl0000021" xfId="12" xr:uid="{00000000-0005-0000-0000-000008000000}"/>
    <cellStyle name="Percent" xfId="7" builtinId="5"/>
    <cellStyle name="pwstyle" xfId="8" xr:uid="{00000000-0005-0000-0000-00000A000000}"/>
    <cellStyle name="เชื่อมโยงหลายมิติ" xfId="9" xr:uid="{00000000-0005-0000-0000-00000B000000}"/>
    <cellStyle name="ตามการเชื่อมโยงหลายมิติ" xfId="10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ORECAST\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_REF"/>
      <sheetName val="NN"/>
      <sheetName val="F1771-V"/>
      <sheetName val="Setup"/>
      <sheetName val="A12-invsub"/>
      <sheetName val="P&amp;L"/>
      <sheetName val="Setup 2009"/>
      <sheetName val="Elim Seg LM"/>
      <sheetName val="Elim Seg BM"/>
      <sheetName val="B&amp;S_Conso"/>
      <sheetName val="Marshal"/>
      <sheetName val="rates"/>
      <sheetName val="AR JAN'02"/>
      <sheetName val="Reference"/>
      <sheetName val="C1"/>
      <sheetName val="เงินกู้ MGC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Summary"/>
      <sheetName val="list"/>
      <sheetName val="Cover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91"/>
  <sheetViews>
    <sheetView showGridLines="0" view="pageBreakPreview" topLeftCell="A43" zoomScale="115" zoomScaleNormal="70" zoomScaleSheetLayoutView="115" workbookViewId="0">
      <selection activeCell="A20" sqref="A20"/>
    </sheetView>
  </sheetViews>
  <sheetFormatPr defaultColWidth="9.140625" defaultRowHeight="21" customHeight="1"/>
  <cols>
    <col min="1" max="1" width="38.140625" style="67" customWidth="1"/>
    <col min="2" max="2" width="6.140625" style="67" customWidth="1"/>
    <col min="3" max="3" width="1.28515625" style="67" customWidth="1"/>
    <col min="4" max="4" width="15.7109375" style="67" customWidth="1"/>
    <col min="5" max="5" width="1.28515625" style="67" customWidth="1"/>
    <col min="6" max="6" width="15.7109375" style="68" customWidth="1"/>
    <col min="7" max="7" width="1.28515625" style="68" customWidth="1"/>
    <col min="8" max="8" width="15.7109375" style="68" customWidth="1"/>
    <col min="9" max="9" width="1.28515625" style="67" customWidth="1"/>
    <col min="10" max="10" width="15.7109375" style="67" customWidth="1"/>
    <col min="11" max="11" width="1.28515625" style="67" customWidth="1"/>
    <col min="12" max="12" width="15.7109375" style="68" customWidth="1"/>
    <col min="13" max="13" width="0.42578125" style="67" customWidth="1"/>
    <col min="14" max="14" width="9.140625" style="67"/>
    <col min="15" max="15" width="12.42578125" style="67" bestFit="1" customWidth="1"/>
    <col min="16" max="16384" width="9.140625" style="67"/>
  </cols>
  <sheetData>
    <row r="1" spans="1:13" s="65" customFormat="1" ht="21" customHeight="1">
      <c r="A1" s="65" t="s">
        <v>0</v>
      </c>
      <c r="F1" s="66"/>
      <c r="G1" s="66"/>
      <c r="H1" s="66"/>
      <c r="L1" s="66"/>
    </row>
    <row r="2" spans="1:13" s="65" customFormat="1" ht="21" customHeight="1">
      <c r="A2" s="65" t="s">
        <v>137</v>
      </c>
      <c r="F2" s="66"/>
      <c r="G2" s="66"/>
      <c r="H2" s="66"/>
      <c r="L2" s="66"/>
    </row>
    <row r="3" spans="1:13" s="65" customFormat="1" ht="21" customHeight="1">
      <c r="A3" s="65" t="s">
        <v>218</v>
      </c>
      <c r="F3" s="66"/>
      <c r="G3" s="66"/>
      <c r="H3" s="66"/>
      <c r="L3" s="66"/>
    </row>
    <row r="4" spans="1:13" ht="21" customHeight="1">
      <c r="L4" s="69" t="s">
        <v>1</v>
      </c>
    </row>
    <row r="5" spans="1:13" s="70" customFormat="1" ht="21" customHeight="1">
      <c r="A5" s="100"/>
      <c r="D5" s="139" t="s">
        <v>2</v>
      </c>
      <c r="E5" s="139"/>
      <c r="F5" s="139"/>
      <c r="G5" s="139"/>
      <c r="H5" s="139"/>
      <c r="I5" s="71"/>
      <c r="J5" s="139" t="s">
        <v>3</v>
      </c>
      <c r="K5" s="139"/>
      <c r="L5" s="139"/>
      <c r="M5" s="139"/>
    </row>
    <row r="6" spans="1:13" s="71" customFormat="1" ht="21" customHeight="1">
      <c r="B6" s="72" t="s">
        <v>4</v>
      </c>
      <c r="D6" s="73" t="s">
        <v>219</v>
      </c>
      <c r="F6" s="74" t="s">
        <v>236</v>
      </c>
      <c r="G6" s="75"/>
      <c r="H6" s="76" t="s">
        <v>220</v>
      </c>
      <c r="J6" s="73" t="s">
        <v>219</v>
      </c>
      <c r="L6" s="74" t="s">
        <v>236</v>
      </c>
      <c r="M6" s="77"/>
    </row>
    <row r="7" spans="1:13" s="71" customFormat="1" ht="21" customHeight="1">
      <c r="B7" s="72"/>
      <c r="D7" s="72"/>
      <c r="F7" s="101" t="s">
        <v>221</v>
      </c>
      <c r="G7" s="101"/>
      <c r="H7" s="101"/>
      <c r="J7" s="72"/>
      <c r="L7" s="101"/>
      <c r="M7" s="77"/>
    </row>
    <row r="8" spans="1:13" s="71" customFormat="1" ht="21" customHeight="1">
      <c r="A8" s="65" t="s">
        <v>5</v>
      </c>
      <c r="F8" s="78"/>
      <c r="G8" s="78"/>
      <c r="H8" s="101"/>
      <c r="L8" s="78"/>
    </row>
    <row r="9" spans="1:13" ht="21" customHeight="1">
      <c r="A9" s="65" t="s">
        <v>6</v>
      </c>
      <c r="H9" s="78"/>
    </row>
    <row r="10" spans="1:13" ht="21" customHeight="1">
      <c r="A10" s="67" t="s">
        <v>7</v>
      </c>
      <c r="B10" s="79">
        <v>7</v>
      </c>
      <c r="D10" s="80">
        <v>632543523</v>
      </c>
      <c r="E10" s="80"/>
      <c r="F10" s="80">
        <v>601678401</v>
      </c>
      <c r="G10" s="80"/>
      <c r="H10" s="80">
        <v>1009981428</v>
      </c>
      <c r="I10" s="80"/>
      <c r="J10" s="80">
        <v>21705541</v>
      </c>
      <c r="K10" s="80"/>
      <c r="L10" s="80">
        <v>22643210</v>
      </c>
      <c r="M10" s="80"/>
    </row>
    <row r="11" spans="1:13" ht="21" customHeight="1">
      <c r="A11" s="67" t="s">
        <v>158</v>
      </c>
      <c r="B11" s="79"/>
      <c r="D11" s="80">
        <v>0</v>
      </c>
      <c r="E11" s="80"/>
      <c r="F11" s="80">
        <v>14044883</v>
      </c>
      <c r="G11" s="80"/>
      <c r="H11" s="80">
        <v>13006461</v>
      </c>
      <c r="I11" s="80"/>
      <c r="J11" s="80">
        <v>0</v>
      </c>
      <c r="K11" s="80"/>
      <c r="L11" s="80">
        <v>0</v>
      </c>
      <c r="M11" s="80"/>
    </row>
    <row r="12" spans="1:13" ht="21" customHeight="1">
      <c r="A12" s="67" t="s">
        <v>94</v>
      </c>
      <c r="B12" s="79">
        <v>9</v>
      </c>
      <c r="D12" s="80">
        <v>813940591</v>
      </c>
      <c r="E12" s="80"/>
      <c r="F12" s="80">
        <v>636051262</v>
      </c>
      <c r="G12" s="80"/>
      <c r="H12" s="80">
        <v>704568196</v>
      </c>
      <c r="I12" s="80"/>
      <c r="J12" s="80">
        <f>34304092+29958261</f>
        <v>64262353</v>
      </c>
      <c r="K12" s="80"/>
      <c r="L12" s="80">
        <v>62818881</v>
      </c>
      <c r="M12" s="80"/>
    </row>
    <row r="13" spans="1:13" ht="21" customHeight="1">
      <c r="A13" s="67" t="s">
        <v>95</v>
      </c>
      <c r="B13" s="79">
        <v>11</v>
      </c>
      <c r="D13" s="80">
        <v>88325038</v>
      </c>
      <c r="E13" s="80"/>
      <c r="F13" s="80">
        <v>101116835</v>
      </c>
      <c r="G13" s="80"/>
      <c r="H13" s="80">
        <v>112597365</v>
      </c>
      <c r="I13" s="80"/>
      <c r="J13" s="80">
        <v>0</v>
      </c>
      <c r="K13" s="80"/>
      <c r="L13" s="80">
        <v>0</v>
      </c>
      <c r="M13" s="80"/>
    </row>
    <row r="14" spans="1:13" ht="21" customHeight="1">
      <c r="A14" s="67" t="s">
        <v>96</v>
      </c>
      <c r="B14" s="79">
        <v>12</v>
      </c>
      <c r="D14" s="80">
        <v>4138397889</v>
      </c>
      <c r="E14" s="80"/>
      <c r="F14" s="80">
        <v>3815339965</v>
      </c>
      <c r="G14" s="80"/>
      <c r="H14" s="80">
        <v>3985979399</v>
      </c>
      <c r="I14" s="80"/>
      <c r="J14" s="80">
        <v>111429000</v>
      </c>
      <c r="K14" s="80"/>
      <c r="L14" s="80">
        <v>111429000</v>
      </c>
      <c r="M14" s="81"/>
    </row>
    <row r="15" spans="1:13" ht="21" customHeight="1">
      <c r="A15" s="67" t="s">
        <v>246</v>
      </c>
      <c r="B15" s="79">
        <v>13</v>
      </c>
      <c r="D15" s="80">
        <v>99982089</v>
      </c>
      <c r="E15" s="80"/>
      <c r="F15" s="80">
        <v>70722274</v>
      </c>
      <c r="G15" s="80"/>
      <c r="H15" s="80">
        <v>61156814</v>
      </c>
      <c r="I15" s="80"/>
      <c r="J15" s="80">
        <v>0</v>
      </c>
      <c r="K15" s="80"/>
      <c r="L15" s="80">
        <v>0</v>
      </c>
      <c r="M15" s="81"/>
    </row>
    <row r="16" spans="1:13" ht="21" customHeight="1">
      <c r="A16" s="67" t="s">
        <v>8</v>
      </c>
      <c r="B16" s="79">
        <v>14</v>
      </c>
      <c r="D16" s="82">
        <v>241838015</v>
      </c>
      <c r="E16" s="80"/>
      <c r="F16" s="82">
        <v>271722731</v>
      </c>
      <c r="G16" s="83"/>
      <c r="H16" s="82">
        <v>138879245</v>
      </c>
      <c r="I16" s="80"/>
      <c r="J16" s="82">
        <f>15194229+1</f>
        <v>15194230</v>
      </c>
      <c r="K16" s="80"/>
      <c r="L16" s="82">
        <v>15115506</v>
      </c>
      <c r="M16" s="80"/>
    </row>
    <row r="17" spans="1:13" ht="21" customHeight="1">
      <c r="A17" s="65" t="s">
        <v>9</v>
      </c>
      <c r="B17" s="79"/>
      <c r="D17" s="84">
        <f>SUM(D10:D16)</f>
        <v>6015027145</v>
      </c>
      <c r="E17" s="80"/>
      <c r="F17" s="84">
        <f>SUM(F10:F16)</f>
        <v>5510676351</v>
      </c>
      <c r="G17" s="83"/>
      <c r="H17" s="84">
        <f>SUM(H10:H16)</f>
        <v>6026168908</v>
      </c>
      <c r="I17" s="80"/>
      <c r="J17" s="84">
        <f>SUM(J10:J16)</f>
        <v>212591124</v>
      </c>
      <c r="K17" s="80"/>
      <c r="L17" s="84">
        <f>SUM(L10:L16)</f>
        <v>212006597</v>
      </c>
      <c r="M17" s="80"/>
    </row>
    <row r="18" spans="1:13" ht="21" customHeight="1">
      <c r="A18" s="65" t="s">
        <v>10</v>
      </c>
      <c r="B18" s="79"/>
      <c r="D18" s="80"/>
      <c r="E18" s="80"/>
      <c r="F18" s="80"/>
      <c r="G18" s="80"/>
      <c r="H18" s="80"/>
      <c r="I18" s="80"/>
      <c r="J18" s="80"/>
      <c r="K18" s="80"/>
      <c r="L18" s="80"/>
    </row>
    <row r="19" spans="1:13" ht="21" customHeight="1">
      <c r="A19" s="67" t="s">
        <v>271</v>
      </c>
      <c r="B19" s="79">
        <v>8</v>
      </c>
      <c r="D19" s="85">
        <v>37872733</v>
      </c>
      <c r="E19" s="80"/>
      <c r="F19" s="85">
        <v>41189</v>
      </c>
      <c r="G19" s="85"/>
      <c r="H19" s="85">
        <v>41189</v>
      </c>
      <c r="I19" s="80"/>
      <c r="J19" s="85">
        <v>0</v>
      </c>
      <c r="K19" s="80"/>
      <c r="L19" s="85">
        <v>0</v>
      </c>
    </row>
    <row r="20" spans="1:13" ht="21" customHeight="1">
      <c r="A20" s="67" t="s">
        <v>165</v>
      </c>
      <c r="B20" s="79"/>
      <c r="D20" s="85">
        <v>2268852</v>
      </c>
      <c r="E20" s="80"/>
      <c r="F20" s="85">
        <v>2178200</v>
      </c>
      <c r="G20" s="85"/>
      <c r="H20" s="85">
        <v>2178200</v>
      </c>
      <c r="I20" s="80"/>
      <c r="J20" s="85">
        <v>2268852</v>
      </c>
      <c r="K20" s="80"/>
      <c r="L20" s="85">
        <v>2178200</v>
      </c>
    </row>
    <row r="21" spans="1:13" ht="21" customHeight="1">
      <c r="A21" s="67" t="s">
        <v>11</v>
      </c>
      <c r="B21" s="79">
        <v>15</v>
      </c>
      <c r="D21" s="80">
        <v>796461495</v>
      </c>
      <c r="E21" s="80"/>
      <c r="F21" s="80">
        <v>488042448</v>
      </c>
      <c r="G21" s="80"/>
      <c r="H21" s="80">
        <v>322174524</v>
      </c>
      <c r="I21" s="80"/>
      <c r="J21" s="80">
        <v>0</v>
      </c>
      <c r="K21" s="80"/>
      <c r="L21" s="80">
        <v>0</v>
      </c>
      <c r="M21" s="71"/>
    </row>
    <row r="22" spans="1:13" ht="21" customHeight="1">
      <c r="A22" s="67" t="s">
        <v>12</v>
      </c>
      <c r="B22" s="79">
        <v>16</v>
      </c>
      <c r="D22" s="85">
        <v>0</v>
      </c>
      <c r="E22" s="80"/>
      <c r="F22" s="85">
        <v>0</v>
      </c>
      <c r="G22" s="85"/>
      <c r="H22" s="85">
        <v>0</v>
      </c>
      <c r="I22" s="80"/>
      <c r="J22" s="85">
        <v>4242655371</v>
      </c>
      <c r="K22" s="80"/>
      <c r="L22" s="85">
        <v>4242655371</v>
      </c>
      <c r="M22" s="71"/>
    </row>
    <row r="23" spans="1:13" ht="21" customHeight="1">
      <c r="A23" s="67" t="s">
        <v>97</v>
      </c>
      <c r="B23" s="79">
        <v>17</v>
      </c>
      <c r="D23" s="85">
        <v>981182127</v>
      </c>
      <c r="E23" s="80"/>
      <c r="F23" s="85">
        <v>1015217329</v>
      </c>
      <c r="G23" s="85"/>
      <c r="H23" s="85">
        <v>928399146</v>
      </c>
      <c r="I23" s="80"/>
      <c r="J23" s="85">
        <v>777454049</v>
      </c>
      <c r="K23" s="80"/>
      <c r="L23" s="85">
        <v>777454049</v>
      </c>
      <c r="M23" s="71"/>
    </row>
    <row r="24" spans="1:13" ht="21" customHeight="1">
      <c r="A24" s="67" t="s">
        <v>98</v>
      </c>
      <c r="B24" s="79">
        <v>18</v>
      </c>
      <c r="D24" s="80">
        <v>606364594</v>
      </c>
      <c r="E24" s="80"/>
      <c r="F24" s="80">
        <v>606364594</v>
      </c>
      <c r="G24" s="80"/>
      <c r="H24" s="80">
        <v>606364594</v>
      </c>
      <c r="I24" s="80"/>
      <c r="J24" s="80">
        <v>0</v>
      </c>
      <c r="K24" s="80"/>
      <c r="L24" s="80">
        <v>0</v>
      </c>
    </row>
    <row r="25" spans="1:13" ht="21" customHeight="1">
      <c r="A25" s="67" t="s">
        <v>13</v>
      </c>
      <c r="B25" s="79">
        <v>10</v>
      </c>
      <c r="D25" s="85">
        <v>0</v>
      </c>
      <c r="E25" s="80"/>
      <c r="F25" s="85">
        <v>0</v>
      </c>
      <c r="G25" s="85"/>
      <c r="H25" s="85">
        <v>0</v>
      </c>
      <c r="I25" s="80"/>
      <c r="J25" s="85">
        <v>1905550000</v>
      </c>
      <c r="K25" s="80"/>
      <c r="L25" s="85">
        <v>987000000</v>
      </c>
    </row>
    <row r="26" spans="1:13" ht="21" customHeight="1">
      <c r="A26" s="67" t="s">
        <v>100</v>
      </c>
      <c r="B26" s="79">
        <v>19</v>
      </c>
      <c r="D26" s="85">
        <v>1411202087</v>
      </c>
      <c r="E26" s="80"/>
      <c r="F26" s="85">
        <v>1233350769</v>
      </c>
      <c r="G26" s="85"/>
      <c r="H26" s="85">
        <v>1165333970</v>
      </c>
      <c r="I26" s="80"/>
      <c r="J26" s="85">
        <v>181619106</v>
      </c>
      <c r="K26" s="80"/>
      <c r="L26" s="85">
        <v>183621330</v>
      </c>
      <c r="M26" s="85"/>
    </row>
    <row r="27" spans="1:13" ht="21" customHeight="1">
      <c r="A27" s="67" t="s">
        <v>99</v>
      </c>
      <c r="B27" s="79">
        <v>20</v>
      </c>
      <c r="D27" s="80">
        <v>13177872310</v>
      </c>
      <c r="E27" s="80"/>
      <c r="F27" s="80">
        <v>11526678951</v>
      </c>
      <c r="G27" s="80"/>
      <c r="H27" s="80">
        <v>11299858680</v>
      </c>
      <c r="I27" s="80"/>
      <c r="J27" s="80">
        <v>42546018</v>
      </c>
      <c r="K27" s="80"/>
      <c r="L27" s="80">
        <v>42090404</v>
      </c>
    </row>
    <row r="28" spans="1:13" ht="21" customHeight="1">
      <c r="A28" s="67" t="s">
        <v>156</v>
      </c>
      <c r="B28" s="79">
        <v>34</v>
      </c>
      <c r="D28" s="80">
        <v>54198090</v>
      </c>
      <c r="E28" s="80"/>
      <c r="F28" s="80">
        <v>78025222</v>
      </c>
      <c r="G28" s="80"/>
      <c r="H28" s="80">
        <v>98127654</v>
      </c>
      <c r="I28" s="80"/>
      <c r="J28" s="80">
        <v>0</v>
      </c>
      <c r="K28" s="80"/>
      <c r="L28" s="80">
        <v>0</v>
      </c>
    </row>
    <row r="29" spans="1:13" ht="21" customHeight="1">
      <c r="A29" s="67" t="s">
        <v>14</v>
      </c>
      <c r="B29" s="79">
        <v>16</v>
      </c>
      <c r="D29" s="83">
        <v>407903881</v>
      </c>
      <c r="E29" s="80"/>
      <c r="F29" s="83">
        <v>407903881</v>
      </c>
      <c r="G29" s="83"/>
      <c r="H29" s="83">
        <v>407903881</v>
      </c>
      <c r="I29" s="80"/>
      <c r="J29" s="83">
        <v>0</v>
      </c>
      <c r="K29" s="80"/>
      <c r="L29" s="83">
        <v>0</v>
      </c>
      <c r="M29" s="86"/>
    </row>
    <row r="30" spans="1:13" ht="21" customHeight="1">
      <c r="A30" s="67" t="s">
        <v>101</v>
      </c>
      <c r="B30" s="79">
        <v>21</v>
      </c>
      <c r="D30" s="83">
        <v>5811485</v>
      </c>
      <c r="E30" s="80"/>
      <c r="F30" s="83">
        <v>8637717</v>
      </c>
      <c r="G30" s="83"/>
      <c r="H30" s="83">
        <v>11460947</v>
      </c>
      <c r="I30" s="80"/>
      <c r="J30" s="83">
        <v>0</v>
      </c>
      <c r="K30" s="80"/>
      <c r="L30" s="83">
        <v>0</v>
      </c>
      <c r="M30" s="80"/>
    </row>
    <row r="31" spans="1:13" ht="21" customHeight="1">
      <c r="A31" s="67" t="s">
        <v>15</v>
      </c>
      <c r="B31" s="79"/>
      <c r="D31" s="82">
        <f>30152247+1</f>
        <v>30152248</v>
      </c>
      <c r="E31" s="80"/>
      <c r="F31" s="82">
        <v>25917223</v>
      </c>
      <c r="G31" s="83"/>
      <c r="H31" s="82">
        <v>76852868</v>
      </c>
      <c r="I31" s="80"/>
      <c r="J31" s="82">
        <v>1342353</v>
      </c>
      <c r="K31" s="80"/>
      <c r="L31" s="82">
        <v>1342053</v>
      </c>
      <c r="M31" s="87"/>
    </row>
    <row r="32" spans="1:13" ht="21" customHeight="1">
      <c r="A32" s="65" t="s">
        <v>16</v>
      </c>
      <c r="B32" s="79"/>
      <c r="D32" s="82">
        <f>SUM(D19:D31)</f>
        <v>17511289902</v>
      </c>
      <c r="E32" s="80"/>
      <c r="F32" s="82">
        <f>SUM(F19:F31)</f>
        <v>15392357523</v>
      </c>
      <c r="G32" s="83"/>
      <c r="H32" s="82">
        <f>SUM(H19:H31)</f>
        <v>14918695653</v>
      </c>
      <c r="I32" s="80"/>
      <c r="J32" s="82">
        <f>SUM(J19:J31)</f>
        <v>7153435749</v>
      </c>
      <c r="K32" s="80"/>
      <c r="L32" s="82">
        <f>SUM(L19:L31)</f>
        <v>6236341407</v>
      </c>
      <c r="M32" s="88"/>
    </row>
    <row r="33" spans="1:13" ht="21" customHeight="1" thickBot="1">
      <c r="A33" s="65" t="s">
        <v>17</v>
      </c>
      <c r="B33" s="71"/>
      <c r="D33" s="89">
        <f>SUM(D17,D32)</f>
        <v>23526317047</v>
      </c>
      <c r="E33" s="80"/>
      <c r="F33" s="89">
        <f>SUM(F17,F32)</f>
        <v>20903033874</v>
      </c>
      <c r="G33" s="83"/>
      <c r="H33" s="89">
        <f>SUM(H17,H32)</f>
        <v>20944864561</v>
      </c>
      <c r="I33" s="80"/>
      <c r="J33" s="89">
        <f>SUM(J17,J32)</f>
        <v>7366026873</v>
      </c>
      <c r="K33" s="80"/>
      <c r="L33" s="89">
        <f>SUM(L17,L32)</f>
        <v>6448348004</v>
      </c>
    </row>
    <row r="34" spans="1:13" ht="21" customHeight="1" thickTop="1">
      <c r="H34" s="67"/>
    </row>
    <row r="36" spans="1:13" ht="21" customHeight="1">
      <c r="A36" s="67" t="s">
        <v>18</v>
      </c>
    </row>
    <row r="37" spans="1:13" s="65" customFormat="1" ht="18.2" customHeight="1">
      <c r="A37" s="65" t="s">
        <v>0</v>
      </c>
      <c r="F37" s="66"/>
      <c r="G37" s="66"/>
      <c r="H37" s="66"/>
      <c r="L37" s="66"/>
    </row>
    <row r="38" spans="1:13" s="65" customFormat="1" ht="18.2" customHeight="1">
      <c r="A38" s="65" t="s">
        <v>138</v>
      </c>
      <c r="F38" s="66"/>
      <c r="G38" s="66"/>
      <c r="H38" s="66"/>
      <c r="L38" s="66"/>
    </row>
    <row r="39" spans="1:13" s="65" customFormat="1" ht="21" customHeight="1">
      <c r="A39" s="65" t="s">
        <v>218</v>
      </c>
      <c r="F39" s="66"/>
      <c r="G39" s="66"/>
      <c r="H39" s="66"/>
      <c r="L39" s="66"/>
    </row>
    <row r="40" spans="1:13" ht="21" customHeight="1">
      <c r="L40" s="69" t="s">
        <v>1</v>
      </c>
    </row>
    <row r="41" spans="1:13" s="70" customFormat="1" ht="21" customHeight="1">
      <c r="A41" s="100"/>
      <c r="D41" s="139" t="s">
        <v>2</v>
      </c>
      <c r="E41" s="139"/>
      <c r="F41" s="139"/>
      <c r="G41" s="139"/>
      <c r="H41" s="139"/>
      <c r="I41" s="71"/>
      <c r="J41" s="139" t="s">
        <v>3</v>
      </c>
      <c r="K41" s="139"/>
      <c r="L41" s="139"/>
      <c r="M41" s="139"/>
    </row>
    <row r="42" spans="1:13" s="71" customFormat="1" ht="21" customHeight="1">
      <c r="B42" s="72" t="s">
        <v>4</v>
      </c>
      <c r="D42" s="73" t="s">
        <v>219</v>
      </c>
      <c r="F42" s="74" t="s">
        <v>236</v>
      </c>
      <c r="G42" s="75"/>
      <c r="H42" s="76" t="s">
        <v>220</v>
      </c>
      <c r="J42" s="72" t="s">
        <v>219</v>
      </c>
      <c r="L42" s="74" t="s">
        <v>236</v>
      </c>
      <c r="M42" s="77"/>
    </row>
    <row r="43" spans="1:13" s="71" customFormat="1" ht="21" customHeight="1">
      <c r="B43" s="72"/>
      <c r="D43" s="72"/>
      <c r="F43" s="101" t="s">
        <v>221</v>
      </c>
      <c r="G43" s="101"/>
      <c r="H43" s="101"/>
      <c r="J43" s="72"/>
      <c r="L43" s="101"/>
      <c r="M43" s="77"/>
    </row>
    <row r="44" spans="1:13" ht="18.2" customHeight="1">
      <c r="A44" s="65" t="s">
        <v>19</v>
      </c>
    </row>
    <row r="45" spans="1:13" ht="18.2" customHeight="1">
      <c r="A45" s="65" t="s">
        <v>20</v>
      </c>
    </row>
    <row r="46" spans="1:13" ht="18.2" customHeight="1">
      <c r="A46" s="67" t="s">
        <v>185</v>
      </c>
      <c r="B46" s="79">
        <v>22</v>
      </c>
      <c r="D46" s="80">
        <v>1117000000</v>
      </c>
      <c r="E46" s="80"/>
      <c r="F46" s="80">
        <v>450000000</v>
      </c>
      <c r="G46" s="80"/>
      <c r="H46" s="80">
        <v>510000000</v>
      </c>
      <c r="I46" s="80"/>
      <c r="J46" s="80">
        <v>650000000</v>
      </c>
      <c r="K46" s="80"/>
      <c r="L46" s="80">
        <v>240000000</v>
      </c>
      <c r="M46" s="68"/>
    </row>
    <row r="47" spans="1:13" ht="18.2" customHeight="1">
      <c r="A47" s="67" t="s">
        <v>102</v>
      </c>
      <c r="B47" s="79">
        <v>23</v>
      </c>
      <c r="D47" s="80">
        <v>1188160411</v>
      </c>
      <c r="E47" s="80"/>
      <c r="F47" s="80">
        <v>1020813844</v>
      </c>
      <c r="G47" s="80"/>
      <c r="H47" s="80">
        <v>924894679</v>
      </c>
      <c r="I47" s="80"/>
      <c r="J47" s="80">
        <f>25362686+13243297</f>
        <v>38605983</v>
      </c>
      <c r="K47" s="80"/>
      <c r="L47" s="80">
        <v>33678514</v>
      </c>
      <c r="M47" s="68"/>
    </row>
    <row r="48" spans="1:13" ht="18.2" customHeight="1">
      <c r="A48" s="67" t="s">
        <v>21</v>
      </c>
      <c r="B48" s="79"/>
      <c r="D48" s="80"/>
      <c r="E48" s="80"/>
      <c r="F48" s="80"/>
      <c r="G48" s="80"/>
      <c r="H48" s="80"/>
      <c r="I48" s="80"/>
      <c r="J48" s="80"/>
      <c r="K48" s="80"/>
      <c r="L48" s="80"/>
      <c r="M48" s="68"/>
    </row>
    <row r="49" spans="1:13" ht="18.2" customHeight="1">
      <c r="A49" s="67" t="s">
        <v>22</v>
      </c>
      <c r="B49" s="79">
        <v>25</v>
      </c>
      <c r="D49" s="80">
        <v>899235358</v>
      </c>
      <c r="E49" s="80"/>
      <c r="F49" s="80">
        <v>673343101</v>
      </c>
      <c r="G49" s="80"/>
      <c r="H49" s="80">
        <v>518609850</v>
      </c>
      <c r="I49" s="80"/>
      <c r="J49" s="80">
        <v>37000000</v>
      </c>
      <c r="K49" s="80"/>
      <c r="L49" s="80">
        <v>3875000</v>
      </c>
      <c r="M49" s="68"/>
    </row>
    <row r="50" spans="1:13" ht="18.2" customHeight="1">
      <c r="A50" s="67" t="s">
        <v>186</v>
      </c>
      <c r="D50" s="80">
        <v>0</v>
      </c>
      <c r="E50" s="80"/>
      <c r="F50" s="80">
        <v>0</v>
      </c>
      <c r="G50" s="80"/>
      <c r="H50" s="80">
        <v>497979879</v>
      </c>
      <c r="I50" s="80"/>
      <c r="J50" s="80">
        <v>0</v>
      </c>
      <c r="K50" s="80"/>
      <c r="L50" s="80">
        <v>0</v>
      </c>
      <c r="M50" s="68"/>
    </row>
    <row r="51" spans="1:13" ht="18.2" customHeight="1">
      <c r="A51" s="67" t="s">
        <v>152</v>
      </c>
      <c r="B51" s="79"/>
      <c r="D51" s="80">
        <v>26851373</v>
      </c>
      <c r="E51" s="80"/>
      <c r="F51" s="80">
        <v>38800305</v>
      </c>
      <c r="G51" s="80"/>
      <c r="H51" s="80">
        <v>38182203</v>
      </c>
      <c r="I51" s="80"/>
      <c r="J51" s="80">
        <v>0</v>
      </c>
      <c r="K51" s="80"/>
      <c r="L51" s="80">
        <v>0</v>
      </c>
      <c r="M51" s="68"/>
    </row>
    <row r="52" spans="1:13" ht="18.2" customHeight="1">
      <c r="A52" s="67" t="s">
        <v>135</v>
      </c>
      <c r="B52" s="79"/>
      <c r="D52" s="81">
        <v>955996163</v>
      </c>
      <c r="E52" s="80"/>
      <c r="F52" s="81">
        <v>904919466</v>
      </c>
      <c r="G52" s="81"/>
      <c r="H52" s="81">
        <v>812247751</v>
      </c>
      <c r="I52" s="80"/>
      <c r="J52" s="81">
        <v>175310</v>
      </c>
      <c r="K52" s="80"/>
      <c r="L52" s="81">
        <v>503847</v>
      </c>
      <c r="M52" s="68"/>
    </row>
    <row r="53" spans="1:13" ht="18.2" customHeight="1">
      <c r="A53" s="67" t="s">
        <v>23</v>
      </c>
      <c r="B53" s="79">
        <v>24</v>
      </c>
      <c r="D53" s="82">
        <v>261323369</v>
      </c>
      <c r="E53" s="80"/>
      <c r="F53" s="82">
        <v>195430761</v>
      </c>
      <c r="G53" s="83"/>
      <c r="H53" s="82">
        <v>159674257</v>
      </c>
      <c r="I53" s="80"/>
      <c r="J53" s="82">
        <v>24225492</v>
      </c>
      <c r="K53" s="80"/>
      <c r="L53" s="82">
        <v>7621536</v>
      </c>
      <c r="M53" s="68"/>
    </row>
    <row r="54" spans="1:13" ht="18.2" customHeight="1">
      <c r="A54" s="65" t="s">
        <v>24</v>
      </c>
      <c r="B54" s="79"/>
      <c r="D54" s="84">
        <f>SUM(D46:D53)</f>
        <v>4448566674</v>
      </c>
      <c r="E54" s="80"/>
      <c r="F54" s="84">
        <f>SUM(F46:F53)</f>
        <v>3283307477</v>
      </c>
      <c r="G54" s="83"/>
      <c r="H54" s="84">
        <f>SUM(H46:H53)</f>
        <v>3461588619</v>
      </c>
      <c r="I54" s="80"/>
      <c r="J54" s="84">
        <f>SUM(J46:J53)</f>
        <v>750006785</v>
      </c>
      <c r="K54" s="80"/>
      <c r="L54" s="84">
        <f>SUM(L46:L53)</f>
        <v>285678897</v>
      </c>
      <c r="M54" s="68"/>
    </row>
    <row r="55" spans="1:13" ht="18.2" customHeight="1">
      <c r="A55" s="65" t="s">
        <v>25</v>
      </c>
      <c r="B55" s="79"/>
      <c r="D55" s="80"/>
      <c r="E55" s="80"/>
      <c r="F55" s="80"/>
      <c r="G55" s="80"/>
      <c r="H55" s="80"/>
      <c r="I55" s="80"/>
      <c r="J55" s="80"/>
      <c r="K55" s="80"/>
      <c r="L55" s="80"/>
      <c r="M55" s="68"/>
    </row>
    <row r="56" spans="1:13" ht="18.2" customHeight="1">
      <c r="A56" s="67" t="s">
        <v>161</v>
      </c>
      <c r="B56" s="79">
        <v>10</v>
      </c>
      <c r="D56" s="90">
        <v>0</v>
      </c>
      <c r="E56" s="80"/>
      <c r="F56" s="90">
        <v>0</v>
      </c>
      <c r="G56" s="90"/>
      <c r="H56" s="90">
        <v>0</v>
      </c>
      <c r="I56" s="80"/>
      <c r="J56" s="90">
        <v>173000000</v>
      </c>
      <c r="K56" s="80"/>
      <c r="L56" s="90">
        <v>433500000</v>
      </c>
      <c r="M56" s="68"/>
    </row>
    <row r="57" spans="1:13" ht="18.2" customHeight="1">
      <c r="A57" s="67" t="s">
        <v>26</v>
      </c>
      <c r="B57" s="79"/>
      <c r="D57" s="85"/>
      <c r="E57" s="80"/>
      <c r="F57" s="85"/>
      <c r="G57" s="85"/>
      <c r="H57" s="85"/>
      <c r="I57" s="80"/>
      <c r="J57" s="85"/>
      <c r="K57" s="80"/>
      <c r="L57" s="85"/>
      <c r="M57" s="78"/>
    </row>
    <row r="58" spans="1:13" ht="18.2" customHeight="1">
      <c r="A58" s="67" t="s">
        <v>27</v>
      </c>
      <c r="B58" s="79">
        <v>25</v>
      </c>
      <c r="D58" s="80">
        <v>3959091576</v>
      </c>
      <c r="E58" s="80"/>
      <c r="F58" s="80">
        <v>2323850568</v>
      </c>
      <c r="G58" s="80"/>
      <c r="H58" s="80">
        <v>2207869615</v>
      </c>
      <c r="I58" s="80"/>
      <c r="J58" s="80">
        <v>1326809446</v>
      </c>
      <c r="K58" s="80"/>
      <c r="L58" s="80">
        <v>70250000</v>
      </c>
      <c r="M58" s="68"/>
    </row>
    <row r="59" spans="1:13" ht="18.2" customHeight="1">
      <c r="A59" s="67" t="s">
        <v>270</v>
      </c>
      <c r="B59" s="79">
        <v>10</v>
      </c>
      <c r="D59" s="80">
        <v>26950000</v>
      </c>
      <c r="E59" s="80"/>
      <c r="F59" s="80">
        <v>0</v>
      </c>
      <c r="G59" s="80"/>
      <c r="H59" s="80">
        <v>0</v>
      </c>
      <c r="I59" s="80"/>
      <c r="J59" s="80">
        <v>0</v>
      </c>
      <c r="K59" s="80"/>
      <c r="L59" s="80">
        <v>0</v>
      </c>
      <c r="M59" s="68"/>
    </row>
    <row r="60" spans="1:13" ht="18.2" customHeight="1">
      <c r="A60" s="67" t="s">
        <v>103</v>
      </c>
      <c r="B60" s="79">
        <v>26</v>
      </c>
      <c r="D60" s="80">
        <v>74328953</v>
      </c>
      <c r="E60" s="80"/>
      <c r="F60" s="80">
        <v>65492702</v>
      </c>
      <c r="G60" s="80"/>
      <c r="H60" s="80">
        <v>55168001</v>
      </c>
      <c r="I60" s="80"/>
      <c r="J60" s="80">
        <v>19637813</v>
      </c>
      <c r="K60" s="80"/>
      <c r="L60" s="80">
        <v>16270273</v>
      </c>
      <c r="M60" s="68"/>
    </row>
    <row r="61" spans="1:13" ht="18.2" customHeight="1">
      <c r="A61" s="67" t="s">
        <v>202</v>
      </c>
      <c r="B61" s="79" t="s">
        <v>250</v>
      </c>
      <c r="D61" s="80">
        <v>18314159</v>
      </c>
      <c r="E61" s="80"/>
      <c r="F61" s="80">
        <v>20681911</v>
      </c>
      <c r="G61" s="80"/>
      <c r="H61" s="80">
        <v>41017534</v>
      </c>
      <c r="I61" s="80"/>
      <c r="J61" s="80">
        <v>0</v>
      </c>
      <c r="K61" s="80"/>
      <c r="L61" s="80">
        <v>0</v>
      </c>
      <c r="M61" s="68"/>
    </row>
    <row r="62" spans="1:13" ht="18.2" customHeight="1">
      <c r="A62" s="67" t="s">
        <v>157</v>
      </c>
      <c r="B62" s="79">
        <v>34</v>
      </c>
      <c r="D62" s="80">
        <v>2676464668</v>
      </c>
      <c r="E62" s="80"/>
      <c r="F62" s="80">
        <v>2358878779</v>
      </c>
      <c r="G62" s="80"/>
      <c r="H62" s="80">
        <f>2351359499-1</f>
        <v>2351359498</v>
      </c>
      <c r="I62" s="80"/>
      <c r="J62" s="80">
        <v>106852652</v>
      </c>
      <c r="K62" s="80"/>
      <c r="L62" s="80">
        <v>106776717</v>
      </c>
      <c r="M62" s="68"/>
    </row>
    <row r="63" spans="1:13" ht="18.2" customHeight="1">
      <c r="A63" s="67" t="s">
        <v>28</v>
      </c>
      <c r="B63" s="79"/>
      <c r="D63" s="82">
        <v>110029557</v>
      </c>
      <c r="E63" s="80"/>
      <c r="F63" s="82">
        <v>121408438</v>
      </c>
      <c r="G63" s="83"/>
      <c r="H63" s="82">
        <v>118257665</v>
      </c>
      <c r="I63" s="80"/>
      <c r="J63" s="82">
        <v>5796736</v>
      </c>
      <c r="K63" s="80"/>
      <c r="L63" s="82">
        <v>6008810</v>
      </c>
      <c r="M63" s="68"/>
    </row>
    <row r="64" spans="1:13" ht="18.2" customHeight="1">
      <c r="A64" s="65" t="s">
        <v>29</v>
      </c>
      <c r="B64" s="79"/>
      <c r="D64" s="82">
        <f>SUM(D56:D63)</f>
        <v>6865178913</v>
      </c>
      <c r="E64" s="80"/>
      <c r="F64" s="82">
        <f>SUM(F56:F63)</f>
        <v>4890312398</v>
      </c>
      <c r="G64" s="83"/>
      <c r="H64" s="82">
        <f>SUM(H56:H63)</f>
        <v>4773672313</v>
      </c>
      <c r="I64" s="80"/>
      <c r="J64" s="82">
        <f>SUM(J56:J63)</f>
        <v>1632096647</v>
      </c>
      <c r="K64" s="80"/>
      <c r="L64" s="82">
        <f>SUM(L56:L63)</f>
        <v>632805800</v>
      </c>
      <c r="M64" s="68"/>
    </row>
    <row r="65" spans="1:15" ht="18.2" customHeight="1">
      <c r="A65" s="65" t="s">
        <v>30</v>
      </c>
      <c r="B65" s="79"/>
      <c r="D65" s="82">
        <f>SUM(D54:D63)</f>
        <v>11313745587</v>
      </c>
      <c r="E65" s="80"/>
      <c r="F65" s="82">
        <f>SUM(F54:F63)</f>
        <v>8173619875</v>
      </c>
      <c r="G65" s="83"/>
      <c r="H65" s="82">
        <f>SUM(H54:H63)</f>
        <v>8235260932</v>
      </c>
      <c r="I65" s="80"/>
      <c r="J65" s="82">
        <f>SUM(J54:J63)</f>
        <v>2382103432</v>
      </c>
      <c r="K65" s="80"/>
      <c r="L65" s="82">
        <f>SUM(L54:L63)</f>
        <v>918484697</v>
      </c>
      <c r="M65" s="68"/>
    </row>
    <row r="66" spans="1:15" ht="18.2" customHeight="1">
      <c r="A66" s="65" t="s">
        <v>31</v>
      </c>
      <c r="B66" s="79"/>
      <c r="D66" s="80"/>
      <c r="E66" s="80"/>
      <c r="F66" s="80"/>
      <c r="G66" s="80"/>
      <c r="H66" s="80"/>
      <c r="I66" s="80"/>
      <c r="J66" s="80"/>
      <c r="K66" s="80"/>
      <c r="L66" s="80"/>
      <c r="M66" s="68"/>
    </row>
    <row r="67" spans="1:15" ht="18.2" customHeight="1">
      <c r="A67" s="67" t="s">
        <v>32</v>
      </c>
      <c r="B67" s="79"/>
      <c r="D67" s="80"/>
      <c r="E67" s="80"/>
      <c r="F67" s="80"/>
      <c r="G67" s="80"/>
      <c r="H67" s="80"/>
      <c r="I67" s="80"/>
      <c r="J67" s="80"/>
      <c r="K67" s="80"/>
      <c r="L67" s="80"/>
      <c r="M67" s="68"/>
    </row>
    <row r="68" spans="1:15" ht="18.2" customHeight="1">
      <c r="A68" s="67" t="s">
        <v>33</v>
      </c>
      <c r="B68" s="79"/>
      <c r="D68" s="80"/>
      <c r="E68" s="80"/>
      <c r="F68" s="80"/>
      <c r="G68" s="80"/>
      <c r="H68" s="80"/>
      <c r="I68" s="80"/>
      <c r="J68" s="80"/>
      <c r="K68" s="80"/>
      <c r="L68" s="80"/>
      <c r="M68" s="68"/>
    </row>
    <row r="69" spans="1:15" ht="18.2" customHeight="1" thickBot="1">
      <c r="A69" s="67" t="s">
        <v>34</v>
      </c>
      <c r="B69" s="79"/>
      <c r="D69" s="89">
        <v>2116753580</v>
      </c>
      <c r="E69" s="80"/>
      <c r="F69" s="89">
        <v>2116753580</v>
      </c>
      <c r="G69" s="83"/>
      <c r="H69" s="89">
        <v>2116753580</v>
      </c>
      <c r="I69" s="80"/>
      <c r="J69" s="89">
        <v>2116753580</v>
      </c>
      <c r="K69" s="80"/>
      <c r="L69" s="89">
        <v>2116753580</v>
      </c>
      <c r="M69" s="68"/>
    </row>
    <row r="70" spans="1:15" ht="18.2" customHeight="1" thickTop="1">
      <c r="A70" s="67" t="s">
        <v>35</v>
      </c>
      <c r="B70" s="79"/>
      <c r="D70" s="80"/>
      <c r="E70" s="80"/>
      <c r="F70" s="80"/>
      <c r="G70" s="80"/>
      <c r="H70" s="80"/>
      <c r="I70" s="80"/>
      <c r="J70" s="80"/>
      <c r="K70" s="80"/>
      <c r="L70" s="80"/>
    </row>
    <row r="71" spans="1:15" ht="18.2" customHeight="1">
      <c r="A71" s="67" t="s">
        <v>36</v>
      </c>
      <c r="B71" s="79"/>
      <c r="D71" s="80">
        <v>1666827010</v>
      </c>
      <c r="E71" s="80"/>
      <c r="F71" s="80">
        <v>1666827010</v>
      </c>
      <c r="G71" s="80"/>
      <c r="H71" s="80">
        <v>1666827010</v>
      </c>
      <c r="I71" s="80"/>
      <c r="J71" s="80">
        <v>1666827010</v>
      </c>
      <c r="K71" s="80"/>
      <c r="L71" s="80">
        <v>1666827010</v>
      </c>
      <c r="M71" s="68"/>
    </row>
    <row r="72" spans="1:15" ht="18.2" customHeight="1">
      <c r="A72" s="67" t="s">
        <v>37</v>
      </c>
      <c r="B72" s="79"/>
      <c r="D72" s="80">
        <v>2062460582</v>
      </c>
      <c r="E72" s="80"/>
      <c r="F72" s="80">
        <v>2062460582</v>
      </c>
      <c r="G72" s="80"/>
      <c r="H72" s="80">
        <v>2062460582</v>
      </c>
      <c r="I72" s="80"/>
      <c r="J72" s="80">
        <v>2062460582</v>
      </c>
      <c r="K72" s="80"/>
      <c r="L72" s="80">
        <v>2062460582</v>
      </c>
      <c r="M72" s="68"/>
    </row>
    <row r="73" spans="1:15" ht="18.2" customHeight="1">
      <c r="A73" s="67" t="s">
        <v>38</v>
      </c>
      <c r="B73" s="79">
        <v>28</v>
      </c>
      <c r="D73" s="80">
        <v>568130588</v>
      </c>
      <c r="E73" s="80"/>
      <c r="F73" s="80">
        <v>568130588</v>
      </c>
      <c r="G73" s="80"/>
      <c r="H73" s="80">
        <v>568130588</v>
      </c>
      <c r="I73" s="80"/>
      <c r="J73" s="80">
        <v>0</v>
      </c>
      <c r="K73" s="80"/>
      <c r="L73" s="80">
        <v>0</v>
      </c>
      <c r="M73" s="68"/>
    </row>
    <row r="74" spans="1:15" ht="18.2" customHeight="1">
      <c r="A74" s="67" t="s">
        <v>39</v>
      </c>
      <c r="B74" s="79"/>
      <c r="D74" s="80"/>
      <c r="E74" s="80"/>
      <c r="F74" s="80"/>
      <c r="G74" s="80"/>
      <c r="H74" s="80"/>
      <c r="I74" s="80"/>
      <c r="J74" s="80"/>
      <c r="K74" s="80"/>
      <c r="L74" s="80"/>
      <c r="M74" s="68"/>
    </row>
    <row r="75" spans="1:15" ht="18.2" customHeight="1">
      <c r="A75" s="67" t="s">
        <v>40</v>
      </c>
      <c r="B75" s="79">
        <v>30</v>
      </c>
      <c r="C75" s="87"/>
      <c r="D75" s="83">
        <v>211675358</v>
      </c>
      <c r="E75" s="83"/>
      <c r="F75" s="83">
        <v>211675358</v>
      </c>
      <c r="G75" s="83"/>
      <c r="H75" s="83">
        <v>211675358</v>
      </c>
      <c r="I75" s="83"/>
      <c r="J75" s="83">
        <v>211675358</v>
      </c>
      <c r="K75" s="83"/>
      <c r="L75" s="83">
        <v>211675358</v>
      </c>
      <c r="M75" s="91"/>
    </row>
    <row r="76" spans="1:15" ht="18.2" customHeight="1">
      <c r="A76" s="67" t="s">
        <v>41</v>
      </c>
      <c r="B76" s="79"/>
      <c r="C76" s="87"/>
      <c r="D76" s="83">
        <v>1858942161</v>
      </c>
      <c r="E76" s="83"/>
      <c r="F76" s="83">
        <v>3043537032</v>
      </c>
      <c r="G76" s="83"/>
      <c r="H76" s="83">
        <v>3019179367</v>
      </c>
      <c r="I76" s="83"/>
      <c r="J76" s="83">
        <f>901647100-1</f>
        <v>901647099</v>
      </c>
      <c r="K76" s="83"/>
      <c r="L76" s="83">
        <v>1449857402</v>
      </c>
      <c r="M76" s="91"/>
      <c r="O76" s="80"/>
    </row>
    <row r="77" spans="1:15" ht="18.2" customHeight="1">
      <c r="A77" s="67" t="s">
        <v>107</v>
      </c>
      <c r="B77" s="79"/>
      <c r="C77" s="87"/>
      <c r="D77" s="82">
        <v>5704657240</v>
      </c>
      <c r="E77" s="83"/>
      <c r="F77" s="82">
        <v>4922763641</v>
      </c>
      <c r="G77" s="83"/>
      <c r="H77" s="82">
        <v>4922513837</v>
      </c>
      <c r="I77" s="83"/>
      <c r="J77" s="82">
        <v>141313392</v>
      </c>
      <c r="K77" s="83"/>
      <c r="L77" s="82">
        <v>139042955</v>
      </c>
      <c r="M77" s="91"/>
    </row>
    <row r="78" spans="1:15" ht="18.2" customHeight="1">
      <c r="A78" s="67" t="s">
        <v>128</v>
      </c>
      <c r="B78" s="79"/>
      <c r="D78" s="80">
        <f>SUM(D71:D77)</f>
        <v>12072692939</v>
      </c>
      <c r="E78" s="80"/>
      <c r="F78" s="80">
        <f>SUM(F71:F77)</f>
        <v>12475394211</v>
      </c>
      <c r="G78" s="80"/>
      <c r="H78" s="80">
        <f>SUM(H71:H77)</f>
        <v>12450786742</v>
      </c>
      <c r="I78" s="80"/>
      <c r="J78" s="80">
        <f>SUM(J71:J77)</f>
        <v>4983923441</v>
      </c>
      <c r="K78" s="80"/>
      <c r="L78" s="80">
        <f>SUM(L71:L77)</f>
        <v>5529863307</v>
      </c>
      <c r="M78" s="68"/>
    </row>
    <row r="79" spans="1:15" ht="18.2" customHeight="1">
      <c r="A79" s="67" t="s">
        <v>148</v>
      </c>
      <c r="B79" s="79"/>
      <c r="D79" s="80"/>
      <c r="E79" s="80"/>
      <c r="F79" s="80"/>
      <c r="G79" s="80"/>
      <c r="H79" s="80"/>
      <c r="I79" s="80"/>
      <c r="J79" s="80"/>
      <c r="K79" s="80"/>
      <c r="L79" s="80"/>
      <c r="M79" s="68"/>
    </row>
    <row r="80" spans="1:15" ht="18.2" customHeight="1">
      <c r="A80" s="67" t="s">
        <v>149</v>
      </c>
      <c r="B80" s="79"/>
      <c r="D80" s="82">
        <v>139878521</v>
      </c>
      <c r="E80" s="80"/>
      <c r="F80" s="82">
        <v>254019788</v>
      </c>
      <c r="G80" s="83"/>
      <c r="H80" s="82">
        <v>258816887</v>
      </c>
      <c r="I80" s="80"/>
      <c r="J80" s="82">
        <v>0</v>
      </c>
      <c r="K80" s="80"/>
      <c r="L80" s="82">
        <v>0</v>
      </c>
      <c r="M80" s="85"/>
    </row>
    <row r="81" spans="1:13" ht="18.2" customHeight="1">
      <c r="A81" s="65" t="s">
        <v>42</v>
      </c>
      <c r="B81" s="79"/>
      <c r="D81" s="82">
        <f>SUM(D78:D80)</f>
        <v>12212571460</v>
      </c>
      <c r="E81" s="80"/>
      <c r="F81" s="82">
        <f>SUM(F78:F80)</f>
        <v>12729413999</v>
      </c>
      <c r="G81" s="83"/>
      <c r="H81" s="82">
        <f>SUM(H78:H80)</f>
        <v>12709603629</v>
      </c>
      <c r="I81" s="80"/>
      <c r="J81" s="82">
        <f>SUM(J78:J80)</f>
        <v>4983923441</v>
      </c>
      <c r="K81" s="80"/>
      <c r="L81" s="82">
        <f>SUM(L78:L80)</f>
        <v>5529863307</v>
      </c>
      <c r="M81" s="68"/>
    </row>
    <row r="82" spans="1:13" ht="18.2" customHeight="1" thickBot="1">
      <c r="A82" s="65" t="s">
        <v>43</v>
      </c>
      <c r="B82" s="79"/>
      <c r="D82" s="89">
        <f>SUM(D65,D81)</f>
        <v>23526317047</v>
      </c>
      <c r="E82" s="80"/>
      <c r="F82" s="89">
        <f>SUM(F65,F81)</f>
        <v>20903033874</v>
      </c>
      <c r="G82" s="83"/>
      <c r="H82" s="89">
        <f>SUM(H65,H81)</f>
        <v>20944864561</v>
      </c>
      <c r="I82" s="80"/>
      <c r="J82" s="89">
        <f>SUM(J65,J81)</f>
        <v>7366026873</v>
      </c>
      <c r="K82" s="80"/>
      <c r="L82" s="89">
        <f>SUM(L65,L81)</f>
        <v>6448348004</v>
      </c>
      <c r="M82" s="68"/>
    </row>
    <row r="83" spans="1:13" ht="10.5" customHeight="1" thickTop="1">
      <c r="B83" s="92"/>
      <c r="C83" s="93"/>
      <c r="D83" s="94">
        <f>SUM(D82-D33)</f>
        <v>0</v>
      </c>
      <c r="E83" s="94"/>
      <c r="F83" s="94">
        <f>SUM(F82-F33)</f>
        <v>0</v>
      </c>
      <c r="G83" s="94"/>
      <c r="H83" s="94">
        <f>SUM(H82-H33)</f>
        <v>0</v>
      </c>
      <c r="I83" s="94"/>
      <c r="J83" s="94">
        <f>SUM(J82-J33)</f>
        <v>0</v>
      </c>
      <c r="K83" s="94"/>
      <c r="L83" s="94">
        <f>SUM(L82-L33)</f>
        <v>0</v>
      </c>
      <c r="M83" s="93"/>
    </row>
    <row r="84" spans="1:13" ht="10.5" customHeight="1">
      <c r="B84" s="92"/>
      <c r="C84" s="93"/>
      <c r="D84" s="94"/>
      <c r="E84" s="94"/>
      <c r="F84" s="94"/>
      <c r="G84" s="94"/>
      <c r="H84" s="94"/>
      <c r="I84" s="94"/>
      <c r="J84" s="94"/>
      <c r="K84" s="94"/>
      <c r="L84" s="94"/>
      <c r="M84" s="93"/>
    </row>
    <row r="85" spans="1:13" ht="10.5" customHeight="1">
      <c r="B85" s="92"/>
      <c r="C85" s="93"/>
      <c r="D85" s="94"/>
      <c r="E85" s="94"/>
      <c r="F85" s="94"/>
      <c r="G85" s="94"/>
      <c r="H85" s="94"/>
      <c r="I85" s="94"/>
      <c r="J85" s="94"/>
      <c r="K85" s="94"/>
      <c r="L85" s="94"/>
      <c r="M85" s="93"/>
    </row>
    <row r="86" spans="1:13" ht="18.2" customHeight="1">
      <c r="A86" s="67" t="s">
        <v>18</v>
      </c>
    </row>
    <row r="87" spans="1:13" ht="11.25" customHeight="1">
      <c r="A87" s="95"/>
      <c r="D87" s="96"/>
      <c r="F87" s="96"/>
      <c r="G87" s="96"/>
      <c r="H87" s="96"/>
      <c r="J87" s="96"/>
      <c r="L87" s="96"/>
    </row>
    <row r="88" spans="1:13" s="98" customFormat="1" ht="19.5">
      <c r="A88" s="97"/>
      <c r="D88" s="96"/>
      <c r="E88" s="67"/>
      <c r="F88" s="96"/>
      <c r="G88" s="96"/>
      <c r="H88" s="96"/>
      <c r="I88" s="67"/>
      <c r="J88" s="96"/>
    </row>
    <row r="89" spans="1:13" s="98" customFormat="1" ht="19.5">
      <c r="A89" s="99"/>
      <c r="D89" s="96"/>
      <c r="E89" s="67"/>
      <c r="F89" s="96"/>
      <c r="G89" s="96"/>
      <c r="H89" s="96"/>
      <c r="I89" s="67"/>
      <c r="J89" s="96"/>
    </row>
    <row r="90" spans="1:13" s="98" customFormat="1" ht="19.5">
      <c r="B90" s="67" t="s">
        <v>154</v>
      </c>
      <c r="D90" s="96"/>
      <c r="E90" s="67"/>
      <c r="F90" s="96"/>
      <c r="G90" s="96"/>
      <c r="H90" s="96"/>
      <c r="I90" s="67"/>
      <c r="J90" s="96"/>
    </row>
    <row r="91" spans="1:13" s="98" customFormat="1" ht="19.5">
      <c r="A91" s="97"/>
    </row>
  </sheetData>
  <mergeCells count="4">
    <mergeCell ref="J5:M5"/>
    <mergeCell ref="J41:M41"/>
    <mergeCell ref="D5:H5"/>
    <mergeCell ref="D41:H41"/>
  </mergeCells>
  <phoneticPr fontId="7" type="noConversion"/>
  <pageMargins left="0.81" right="0.19685039370078741" top="0.78740157480314965" bottom="0.39370078740157483" header="0.19685039370078741" footer="0.19685039370078741"/>
  <pageSetup paperSize="9" scale="70" fitToHeight="2" orientation="portrait" r:id="rId1"/>
  <rowBreaks count="1" manualBreakCount="1">
    <brk id="3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74"/>
  <sheetViews>
    <sheetView showGridLines="0" view="pageBreakPreview" topLeftCell="A16" zoomScaleNormal="85" zoomScaleSheetLayoutView="100" workbookViewId="0">
      <selection activeCell="A23" sqref="A23"/>
    </sheetView>
  </sheetViews>
  <sheetFormatPr defaultColWidth="9.140625" defaultRowHeight="21" customHeight="1"/>
  <cols>
    <col min="1" max="1" width="48.7109375" style="3" customWidth="1"/>
    <col min="2" max="2" width="4.710937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6384" width="9.140625" style="3"/>
  </cols>
  <sheetData>
    <row r="1" spans="1:10" s="1" customFormat="1" ht="19.5" customHeight="1">
      <c r="A1" s="1" t="s">
        <v>0</v>
      </c>
      <c r="D1" s="2"/>
      <c r="F1" s="2"/>
      <c r="H1" s="2"/>
      <c r="J1" s="2"/>
    </row>
    <row r="2" spans="1:10" s="1" customFormat="1" ht="19.5" customHeight="1">
      <c r="A2" s="1" t="s">
        <v>131</v>
      </c>
      <c r="D2" s="2"/>
      <c r="F2" s="2"/>
      <c r="H2" s="2"/>
      <c r="J2" s="2"/>
    </row>
    <row r="3" spans="1:10" s="1" customFormat="1" ht="19.5" customHeight="1">
      <c r="A3" s="1" t="s">
        <v>215</v>
      </c>
      <c r="D3" s="2"/>
      <c r="F3" s="2"/>
      <c r="H3" s="2"/>
      <c r="J3" s="2"/>
    </row>
    <row r="4" spans="1:10" s="8" customFormat="1" ht="19.5" customHeight="1">
      <c r="D4" s="4"/>
      <c r="E4" s="3"/>
      <c r="F4" s="4"/>
      <c r="G4" s="3"/>
      <c r="H4" s="5"/>
      <c r="I4" s="3"/>
      <c r="J4" s="5" t="s">
        <v>1</v>
      </c>
    </row>
    <row r="5" spans="1:10" s="6" customFormat="1" ht="19.5" customHeight="1">
      <c r="D5" s="7"/>
      <c r="E5" s="63" t="s">
        <v>2</v>
      </c>
      <c r="F5" s="7"/>
      <c r="H5" s="7"/>
      <c r="I5" s="63" t="s">
        <v>3</v>
      </c>
      <c r="J5" s="7"/>
    </row>
    <row r="6" spans="1:10" s="8" customFormat="1" ht="19.5" customHeight="1">
      <c r="B6" s="9" t="s">
        <v>4</v>
      </c>
      <c r="D6" s="10">
        <v>2019</v>
      </c>
      <c r="E6" s="11"/>
      <c r="F6" s="10">
        <v>2018</v>
      </c>
      <c r="G6" s="11"/>
      <c r="H6" s="10">
        <v>2019</v>
      </c>
      <c r="I6" s="11"/>
      <c r="J6" s="10">
        <v>2018</v>
      </c>
    </row>
    <row r="7" spans="1:10" s="8" customFormat="1" ht="19.5" customHeight="1">
      <c r="B7" s="9"/>
      <c r="D7" s="10"/>
      <c r="E7" s="11"/>
      <c r="F7" s="134" t="s">
        <v>221</v>
      </c>
      <c r="G7" s="11"/>
      <c r="H7" s="10"/>
      <c r="I7" s="11"/>
      <c r="J7" s="134"/>
    </row>
    <row r="8" spans="1:10" ht="19.5" customHeight="1">
      <c r="A8" s="1" t="s">
        <v>129</v>
      </c>
      <c r="B8" s="12">
        <v>31</v>
      </c>
    </row>
    <row r="9" spans="1:10" ht="19.5" customHeight="1">
      <c r="A9" s="135" t="s">
        <v>268</v>
      </c>
      <c r="D9" s="13">
        <v>3356259391</v>
      </c>
      <c r="E9" s="13"/>
      <c r="F9" s="13">
        <v>3572747471</v>
      </c>
      <c r="G9" s="13"/>
      <c r="H9" s="13">
        <v>36296848</v>
      </c>
      <c r="I9" s="13"/>
      <c r="J9" s="13">
        <v>37370516</v>
      </c>
    </row>
    <row r="10" spans="1:10" ht="19.5" customHeight="1">
      <c r="A10" s="135" t="s">
        <v>269</v>
      </c>
      <c r="B10" s="12"/>
      <c r="D10" s="13">
        <v>2568162685</v>
      </c>
      <c r="E10" s="13"/>
      <c r="F10" s="13">
        <v>1705618276</v>
      </c>
      <c r="G10" s="13"/>
      <c r="H10" s="13">
        <v>349960</v>
      </c>
      <c r="I10" s="13"/>
      <c r="J10" s="13">
        <v>629510</v>
      </c>
    </row>
    <row r="11" spans="1:10" ht="19.5" customHeight="1">
      <c r="A11" s="135" t="s">
        <v>264</v>
      </c>
      <c r="B11" s="12"/>
      <c r="D11" s="13">
        <v>91182662</v>
      </c>
      <c r="E11" s="13"/>
      <c r="F11" s="13">
        <v>98667116</v>
      </c>
      <c r="G11" s="13"/>
      <c r="H11" s="13">
        <v>21577181</v>
      </c>
      <c r="I11" s="13"/>
      <c r="J11" s="13">
        <v>21339103</v>
      </c>
    </row>
    <row r="12" spans="1:10" ht="19.5" customHeight="1">
      <c r="A12" s="3" t="s">
        <v>44</v>
      </c>
      <c r="B12" s="12">
        <v>32</v>
      </c>
      <c r="D12" s="14">
        <v>142215981</v>
      </c>
      <c r="E12" s="16"/>
      <c r="F12" s="14">
        <f>28271056+73133044</f>
        <v>101404100</v>
      </c>
      <c r="G12" s="16"/>
      <c r="H12" s="14">
        <f>1037831316+189517487</f>
        <v>1227348803</v>
      </c>
      <c r="I12" s="16"/>
      <c r="J12" s="14">
        <v>172276789</v>
      </c>
    </row>
    <row r="13" spans="1:10" ht="19.5" customHeight="1">
      <c r="A13" s="1" t="s">
        <v>130</v>
      </c>
      <c r="B13" s="12"/>
      <c r="D13" s="14">
        <f>SUM(D9:D12)</f>
        <v>6157820719</v>
      </c>
      <c r="E13" s="13"/>
      <c r="F13" s="14">
        <f>SUM(F9:F12)</f>
        <v>5478436963</v>
      </c>
      <c r="G13" s="13"/>
      <c r="H13" s="14">
        <f>SUM(H9:H12)</f>
        <v>1285572792</v>
      </c>
      <c r="I13" s="13"/>
      <c r="J13" s="14">
        <f>SUM(J9:J12)</f>
        <v>231615918</v>
      </c>
    </row>
    <row r="14" spans="1:10" ht="19.5" customHeight="1">
      <c r="A14" s="1" t="s">
        <v>45</v>
      </c>
      <c r="B14" s="12"/>
      <c r="D14" s="13"/>
      <c r="E14" s="13"/>
      <c r="F14" s="13"/>
      <c r="G14" s="13"/>
      <c r="H14" s="13"/>
      <c r="I14" s="13"/>
      <c r="J14" s="13"/>
    </row>
    <row r="15" spans="1:10" ht="19.5" customHeight="1">
      <c r="A15" s="3" t="s">
        <v>46</v>
      </c>
      <c r="B15" s="12"/>
      <c r="D15" s="13">
        <v>2083085206</v>
      </c>
      <c r="E15" s="13"/>
      <c r="F15" s="13">
        <v>2043390377</v>
      </c>
      <c r="G15" s="13"/>
      <c r="H15" s="13">
        <v>29434088</v>
      </c>
      <c r="I15" s="13"/>
      <c r="J15" s="13">
        <v>29441874</v>
      </c>
    </row>
    <row r="16" spans="1:10" ht="19.5" customHeight="1">
      <c r="A16" s="3" t="s">
        <v>47</v>
      </c>
      <c r="B16" s="12"/>
      <c r="D16" s="13">
        <v>1486462100</v>
      </c>
      <c r="E16" s="13"/>
      <c r="F16" s="13">
        <v>1132780838</v>
      </c>
      <c r="G16" s="13"/>
      <c r="H16" s="13">
        <v>0</v>
      </c>
      <c r="I16" s="13"/>
      <c r="J16" s="13">
        <v>0</v>
      </c>
    </row>
    <row r="17" spans="1:10" ht="19.5" customHeight="1">
      <c r="A17" s="3" t="s">
        <v>48</v>
      </c>
      <c r="B17" s="12"/>
      <c r="D17" s="13">
        <v>42557058</v>
      </c>
      <c r="E17" s="13"/>
      <c r="F17" s="13">
        <v>49879209</v>
      </c>
      <c r="G17" s="13"/>
      <c r="H17" s="13">
        <v>7082740</v>
      </c>
      <c r="I17" s="13"/>
      <c r="J17" s="13">
        <v>6728901</v>
      </c>
    </row>
    <row r="18" spans="1:10" ht="19.5" customHeight="1">
      <c r="A18" s="3" t="s">
        <v>49</v>
      </c>
      <c r="B18" s="12"/>
      <c r="D18" s="13">
        <v>476391632</v>
      </c>
      <c r="E18" s="13"/>
      <c r="F18" s="13">
        <f>430865564-1</f>
        <v>430865563</v>
      </c>
      <c r="G18" s="13"/>
      <c r="H18" s="13">
        <v>2068056</v>
      </c>
      <c r="I18" s="13"/>
      <c r="J18" s="13">
        <v>1590391</v>
      </c>
    </row>
    <row r="19" spans="1:10" ht="19.5" customHeight="1">
      <c r="A19" s="3" t="s">
        <v>50</v>
      </c>
      <c r="B19" s="12">
        <v>44</v>
      </c>
      <c r="D19" s="14">
        <v>1359129324</v>
      </c>
      <c r="E19" s="16"/>
      <c r="F19" s="14">
        <v>1518113767</v>
      </c>
      <c r="G19" s="16"/>
      <c r="H19" s="14">
        <f>173749197+1</f>
        <v>173749198</v>
      </c>
      <c r="I19" s="16"/>
      <c r="J19" s="14">
        <v>184508760</v>
      </c>
    </row>
    <row r="20" spans="1:10" ht="19.5" customHeight="1">
      <c r="A20" s="1" t="s">
        <v>51</v>
      </c>
      <c r="B20" s="12"/>
      <c r="D20" s="14">
        <f>SUM(D15:D19)</f>
        <v>5447625320</v>
      </c>
      <c r="E20" s="13"/>
      <c r="F20" s="14">
        <f>SUM(F15:F19)</f>
        <v>5175029754</v>
      </c>
      <c r="G20" s="13"/>
      <c r="H20" s="14">
        <f>SUM(H15:H19)</f>
        <v>212334082</v>
      </c>
      <c r="I20" s="13"/>
      <c r="J20" s="14">
        <f>SUM(J15:J19)</f>
        <v>222269926</v>
      </c>
    </row>
    <row r="21" spans="1:10" ht="19.5" customHeight="1">
      <c r="A21" s="1" t="s">
        <v>251</v>
      </c>
      <c r="B21" s="12"/>
      <c r="D21" s="16"/>
      <c r="E21" s="13"/>
      <c r="F21" s="16"/>
      <c r="G21" s="13"/>
      <c r="H21" s="16"/>
      <c r="I21" s="13"/>
      <c r="J21" s="16"/>
    </row>
    <row r="22" spans="1:10" ht="19.5" customHeight="1">
      <c r="A22" s="1" t="s">
        <v>197</v>
      </c>
      <c r="B22" s="12"/>
      <c r="D22" s="13">
        <f>SUM(D13-D20)</f>
        <v>710195399</v>
      </c>
      <c r="E22" s="13"/>
      <c r="F22" s="13">
        <f>SUM(F13-F20)</f>
        <v>303407209</v>
      </c>
      <c r="G22" s="13"/>
      <c r="H22" s="13">
        <f>SUM(H13-H20)</f>
        <v>1073238710</v>
      </c>
      <c r="I22" s="13"/>
      <c r="J22" s="13">
        <f>SUM(J13-J20)</f>
        <v>9345992</v>
      </c>
    </row>
    <row r="23" spans="1:10" s="17" customFormat="1" ht="19.5" customHeight="1">
      <c r="A23" s="17" t="s">
        <v>252</v>
      </c>
      <c r="B23" s="12">
        <v>17</v>
      </c>
      <c r="D23" s="20">
        <v>4779916</v>
      </c>
      <c r="E23" s="16"/>
      <c r="F23" s="20">
        <v>65627750</v>
      </c>
      <c r="G23" s="16"/>
      <c r="H23" s="20">
        <v>0</v>
      </c>
      <c r="I23" s="16"/>
      <c r="J23" s="20">
        <v>0</v>
      </c>
    </row>
    <row r="24" spans="1:10" s="17" customFormat="1" ht="19.5" customHeight="1">
      <c r="A24" s="22" t="s">
        <v>189</v>
      </c>
      <c r="B24" s="23"/>
      <c r="D24" s="19">
        <f>SUM(D22:D23)</f>
        <v>714975315</v>
      </c>
      <c r="E24" s="16"/>
      <c r="F24" s="19">
        <f>SUM(F22:F23)</f>
        <v>369034959</v>
      </c>
      <c r="G24" s="16"/>
      <c r="H24" s="19">
        <f>SUM(H22:H23)</f>
        <v>1073238710</v>
      </c>
      <c r="I24" s="16"/>
      <c r="J24" s="19">
        <f>SUM(J22:J23)</f>
        <v>9345992</v>
      </c>
    </row>
    <row r="25" spans="1:10" ht="19.5" customHeight="1">
      <c r="A25" s="3" t="s">
        <v>52</v>
      </c>
      <c r="B25" s="12"/>
      <c r="D25" s="14">
        <v>-132252130</v>
      </c>
      <c r="E25" s="16"/>
      <c r="F25" s="14">
        <v>-158178352</v>
      </c>
      <c r="G25" s="16"/>
      <c r="H25" s="14">
        <v>-53474500</v>
      </c>
      <c r="I25" s="16"/>
      <c r="J25" s="14">
        <v>-39015177</v>
      </c>
    </row>
    <row r="26" spans="1:10" s="17" customFormat="1" ht="19.5" customHeight="1">
      <c r="A26" s="22" t="s">
        <v>198</v>
      </c>
      <c r="B26" s="23"/>
      <c r="D26" s="21">
        <f>SUM(D24:D25)</f>
        <v>582723185</v>
      </c>
      <c r="E26" s="16"/>
      <c r="F26" s="21">
        <f>SUM(F24:F25)</f>
        <v>210856607</v>
      </c>
      <c r="G26" s="16"/>
      <c r="H26" s="21">
        <f>SUM(H24:H25)</f>
        <v>1019764210</v>
      </c>
      <c r="I26" s="16"/>
      <c r="J26" s="21">
        <f>SUM(J24:J25)</f>
        <v>-29669185</v>
      </c>
    </row>
    <row r="27" spans="1:10" ht="19.5" customHeight="1">
      <c r="A27" s="3" t="s">
        <v>153</v>
      </c>
      <c r="B27" s="12">
        <v>34</v>
      </c>
      <c r="D27" s="14">
        <v>-224517782</v>
      </c>
      <c r="E27" s="13"/>
      <c r="F27" s="14">
        <v>-127630259</v>
      </c>
      <c r="G27" s="13"/>
      <c r="H27" s="14">
        <v>491674</v>
      </c>
      <c r="I27" s="13"/>
      <c r="J27" s="14">
        <v>9869096</v>
      </c>
    </row>
    <row r="28" spans="1:10" ht="19.5" customHeight="1" thickBot="1">
      <c r="A28" s="1" t="s">
        <v>199</v>
      </c>
      <c r="B28" s="12"/>
      <c r="D28" s="24">
        <f>SUM(D26:D27)</f>
        <v>358205403</v>
      </c>
      <c r="E28" s="13"/>
      <c r="F28" s="24">
        <f>SUM(F26:F27)</f>
        <v>83226348</v>
      </c>
      <c r="G28" s="13"/>
      <c r="H28" s="24">
        <f>SUM(H26:H27)</f>
        <v>1020255884</v>
      </c>
      <c r="I28" s="13"/>
      <c r="J28" s="24">
        <f>SUM(J26:J27)</f>
        <v>-19800089</v>
      </c>
    </row>
    <row r="29" spans="1:10" ht="18.75" customHeight="1" thickTop="1">
      <c r="A29" s="1"/>
      <c r="B29" s="12"/>
      <c r="D29" s="16"/>
      <c r="E29" s="13"/>
      <c r="F29" s="16"/>
      <c r="G29" s="13"/>
      <c r="H29" s="16"/>
      <c r="I29" s="13"/>
      <c r="J29" s="16"/>
    </row>
    <row r="30" spans="1:10" ht="21" customHeight="1">
      <c r="A30" s="1" t="s">
        <v>175</v>
      </c>
      <c r="B30" s="12"/>
      <c r="D30" s="16"/>
      <c r="E30" s="13"/>
      <c r="F30" s="16"/>
      <c r="G30" s="13"/>
      <c r="H30" s="16"/>
      <c r="I30" s="13"/>
      <c r="J30" s="16"/>
    </row>
    <row r="31" spans="1:10" ht="21" customHeight="1" thickBot="1">
      <c r="A31" s="3" t="s">
        <v>105</v>
      </c>
      <c r="B31" s="12"/>
      <c r="D31" s="16">
        <v>364101439</v>
      </c>
      <c r="E31" s="13"/>
      <c r="F31" s="16">
        <f>87697416+1</f>
        <v>87697417</v>
      </c>
      <c r="G31" s="13"/>
      <c r="H31" s="24">
        <f>H28</f>
        <v>1020255884</v>
      </c>
      <c r="I31" s="13"/>
      <c r="J31" s="24">
        <f>J28</f>
        <v>-19800089</v>
      </c>
    </row>
    <row r="32" spans="1:10" ht="21" customHeight="1" thickTop="1">
      <c r="A32" s="3" t="s">
        <v>104</v>
      </c>
      <c r="B32" s="12"/>
      <c r="D32" s="14">
        <v>-5896036</v>
      </c>
      <c r="E32" s="13"/>
      <c r="F32" s="14">
        <v>-4471069</v>
      </c>
      <c r="G32" s="13"/>
      <c r="H32" s="16"/>
      <c r="I32" s="13"/>
      <c r="J32" s="16"/>
    </row>
    <row r="33" spans="1:10" ht="21" customHeight="1" thickBot="1">
      <c r="B33" s="12"/>
      <c r="D33" s="24">
        <f>SUM(D31:D32)</f>
        <v>358205403</v>
      </c>
      <c r="E33" s="13"/>
      <c r="F33" s="24">
        <f>SUM(F31:F32)</f>
        <v>83226348</v>
      </c>
      <c r="G33" s="13"/>
      <c r="H33" s="16"/>
      <c r="I33" s="13"/>
      <c r="J33" s="16"/>
    </row>
    <row r="34" spans="1:10" ht="21" customHeight="1" thickTop="1">
      <c r="B34" s="12"/>
      <c r="D34" s="16"/>
      <c r="E34" s="13"/>
      <c r="F34" s="16"/>
      <c r="G34" s="13"/>
      <c r="H34" s="16"/>
      <c r="I34" s="13"/>
      <c r="J34" s="16"/>
    </row>
    <row r="35" spans="1:10" ht="21" customHeight="1">
      <c r="A35" s="1" t="s">
        <v>53</v>
      </c>
      <c r="B35" s="12">
        <v>35</v>
      </c>
    </row>
    <row r="36" spans="1:10" ht="21" customHeight="1" thickBot="1">
      <c r="A36" s="3" t="s">
        <v>200</v>
      </c>
      <c r="B36" s="12"/>
      <c r="D36" s="58">
        <f>D31/166682701</f>
        <v>2.184398481759664</v>
      </c>
      <c r="E36" s="59"/>
      <c r="F36" s="58">
        <f>F31/166682701</f>
        <v>0.52613388476348244</v>
      </c>
      <c r="G36" s="59"/>
      <c r="H36" s="58">
        <f>H31/166682701</f>
        <v>6.1209464322275409</v>
      </c>
      <c r="I36" s="59"/>
      <c r="J36" s="58">
        <f>J31/166682701</f>
        <v>-0.11878910577528978</v>
      </c>
    </row>
    <row r="37" spans="1:10" ht="20.25" customHeight="1" thickTop="1"/>
    <row r="38" spans="1:10" ht="19.5" customHeight="1">
      <c r="A38" s="3" t="s">
        <v>18</v>
      </c>
      <c r="B38" s="8"/>
      <c r="D38" s="18"/>
      <c r="E38" s="13"/>
      <c r="F38" s="18"/>
      <c r="G38" s="13"/>
      <c r="H38" s="18"/>
      <c r="I38" s="13"/>
      <c r="J38" s="18"/>
    </row>
    <row r="39" spans="1:10" s="1" customFormat="1" ht="20.45" customHeight="1">
      <c r="A39" s="1" t="s">
        <v>0</v>
      </c>
      <c r="D39" s="2"/>
      <c r="F39" s="2"/>
      <c r="H39" s="2"/>
      <c r="J39" s="2"/>
    </row>
    <row r="40" spans="1:10" s="1" customFormat="1" ht="20.45" customHeight="1">
      <c r="A40" s="1" t="s">
        <v>141</v>
      </c>
      <c r="D40" s="2"/>
      <c r="F40" s="2"/>
      <c r="H40" s="2"/>
      <c r="J40" s="2"/>
    </row>
    <row r="41" spans="1:10" s="1" customFormat="1" ht="20.45" customHeight="1">
      <c r="A41" s="1" t="s">
        <v>215</v>
      </c>
      <c r="D41" s="2"/>
      <c r="F41" s="2"/>
      <c r="H41" s="2"/>
      <c r="J41" s="2"/>
    </row>
    <row r="42" spans="1:10" s="8" customFormat="1" ht="20.45" customHeight="1">
      <c r="D42" s="4"/>
      <c r="E42" s="3"/>
      <c r="F42" s="4"/>
      <c r="G42" s="3"/>
      <c r="H42" s="5"/>
      <c r="I42" s="3"/>
      <c r="J42" s="5" t="s">
        <v>1</v>
      </c>
    </row>
    <row r="43" spans="1:10" s="6" customFormat="1" ht="20.45" customHeight="1">
      <c r="D43" s="7"/>
      <c r="E43" s="63" t="s">
        <v>2</v>
      </c>
      <c r="F43" s="7"/>
      <c r="H43" s="7"/>
      <c r="I43" s="63" t="s">
        <v>3</v>
      </c>
      <c r="J43" s="7"/>
    </row>
    <row r="44" spans="1:10" s="8" customFormat="1" ht="20.45" customHeight="1">
      <c r="B44" s="9" t="s">
        <v>4</v>
      </c>
      <c r="D44" s="10">
        <v>2019</v>
      </c>
      <c r="E44" s="11"/>
      <c r="F44" s="10">
        <v>2018</v>
      </c>
      <c r="G44" s="11"/>
      <c r="H44" s="10">
        <v>2019</v>
      </c>
      <c r="I44" s="11"/>
      <c r="J44" s="10">
        <v>2018</v>
      </c>
    </row>
    <row r="45" spans="1:10" s="8" customFormat="1" ht="20.45" customHeight="1">
      <c r="B45" s="18"/>
      <c r="D45" s="10"/>
      <c r="E45" s="11"/>
      <c r="F45" s="134" t="s">
        <v>221</v>
      </c>
      <c r="G45" s="11"/>
      <c r="H45" s="10"/>
      <c r="I45" s="11"/>
      <c r="J45" s="134"/>
    </row>
    <row r="46" spans="1:10" s="8" customFormat="1" ht="20.45" customHeight="1">
      <c r="B46" s="18"/>
      <c r="D46" s="10"/>
      <c r="E46" s="11"/>
      <c r="F46" s="134"/>
      <c r="G46" s="11"/>
      <c r="H46" s="10"/>
      <c r="I46" s="11"/>
      <c r="J46" s="134"/>
    </row>
    <row r="47" spans="1:10" ht="20.45" customHeight="1" thickBot="1">
      <c r="A47" s="1" t="s">
        <v>199</v>
      </c>
      <c r="B47" s="8"/>
      <c r="D47" s="24">
        <f>SUM(D33)</f>
        <v>358205403</v>
      </c>
      <c r="E47" s="16"/>
      <c r="F47" s="24">
        <f>SUM(F33)</f>
        <v>83226348</v>
      </c>
      <c r="G47" s="16"/>
      <c r="H47" s="24">
        <f>SUM(H31)</f>
        <v>1020255884</v>
      </c>
      <c r="I47" s="16"/>
      <c r="J47" s="24">
        <f>SUM(J31)</f>
        <v>-19800089</v>
      </c>
    </row>
    <row r="48" spans="1:10" ht="20.45" customHeight="1" thickTop="1">
      <c r="A48" s="1"/>
      <c r="B48" s="8"/>
      <c r="D48" s="16"/>
      <c r="E48" s="16"/>
      <c r="F48" s="16"/>
      <c r="G48" s="16"/>
      <c r="H48" s="16"/>
      <c r="I48" s="16"/>
      <c r="J48" s="16"/>
    </row>
    <row r="49" spans="1:10" ht="20.45" customHeight="1">
      <c r="A49" s="1" t="s">
        <v>172</v>
      </c>
      <c r="B49" s="8"/>
      <c r="D49" s="16"/>
      <c r="E49" s="16"/>
      <c r="F49" s="16"/>
      <c r="G49" s="16"/>
      <c r="H49" s="16"/>
      <c r="I49" s="16"/>
      <c r="J49" s="16"/>
    </row>
    <row r="50" spans="1:10" ht="20.45" customHeight="1">
      <c r="A50" s="57" t="s">
        <v>176</v>
      </c>
      <c r="B50" s="8"/>
      <c r="D50" s="16"/>
      <c r="E50" s="16"/>
      <c r="F50" s="16"/>
      <c r="G50" s="16"/>
      <c r="H50" s="16"/>
      <c r="I50" s="16"/>
      <c r="J50" s="16"/>
    </row>
    <row r="51" spans="1:10" ht="20.45" customHeight="1">
      <c r="A51" s="57" t="s">
        <v>171</v>
      </c>
      <c r="B51" s="8"/>
      <c r="D51" s="16"/>
      <c r="E51" s="16"/>
      <c r="F51" s="16"/>
      <c r="G51" s="16"/>
      <c r="H51" s="16"/>
      <c r="I51" s="16"/>
      <c r="J51" s="16"/>
    </row>
    <row r="52" spans="1:10" ht="20.45" customHeight="1">
      <c r="A52" s="3" t="s">
        <v>187</v>
      </c>
      <c r="B52" s="12"/>
      <c r="D52" s="16"/>
      <c r="E52" s="16"/>
      <c r="F52" s="16"/>
      <c r="G52" s="16"/>
      <c r="H52" s="16"/>
      <c r="I52" s="16"/>
      <c r="J52" s="16"/>
    </row>
    <row r="53" spans="1:10" ht="20.45" customHeight="1">
      <c r="A53" s="3" t="s">
        <v>253</v>
      </c>
      <c r="B53" s="12"/>
      <c r="D53" s="13">
        <v>2140604</v>
      </c>
      <c r="E53" s="16"/>
      <c r="F53" s="13">
        <v>8004633</v>
      </c>
      <c r="G53" s="16"/>
      <c r="H53" s="13">
        <v>0</v>
      </c>
      <c r="I53" s="16"/>
      <c r="J53" s="13">
        <v>0</v>
      </c>
    </row>
    <row r="54" spans="1:10" ht="20.45" customHeight="1">
      <c r="A54" s="3" t="s">
        <v>254</v>
      </c>
      <c r="B54" s="12"/>
      <c r="D54" s="13"/>
      <c r="E54" s="16"/>
      <c r="F54" s="13"/>
      <c r="G54" s="16"/>
      <c r="H54" s="13"/>
      <c r="I54" s="16"/>
      <c r="J54" s="13"/>
    </row>
    <row r="55" spans="1:10" ht="20.45" customHeight="1">
      <c r="A55" s="3" t="s">
        <v>242</v>
      </c>
      <c r="B55" s="12">
        <v>17</v>
      </c>
      <c r="D55" s="14">
        <v>-10544062</v>
      </c>
      <c r="E55" s="16"/>
      <c r="F55" s="14">
        <v>1023085</v>
      </c>
      <c r="G55" s="16"/>
      <c r="H55" s="14">
        <v>0</v>
      </c>
      <c r="I55" s="16"/>
      <c r="J55" s="14">
        <v>0</v>
      </c>
    </row>
    <row r="56" spans="1:10" ht="20.45" customHeight="1">
      <c r="A56" s="3" t="s">
        <v>176</v>
      </c>
      <c r="B56" s="12"/>
      <c r="D56" s="13"/>
      <c r="E56" s="16"/>
      <c r="F56" s="13"/>
      <c r="G56" s="16"/>
      <c r="H56" s="13"/>
      <c r="I56" s="16"/>
      <c r="J56" s="13"/>
    </row>
    <row r="57" spans="1:10" ht="20.45" customHeight="1">
      <c r="A57" s="3" t="s">
        <v>214</v>
      </c>
      <c r="B57" s="12"/>
      <c r="D57" s="14">
        <f>SUM(D53:D56)</f>
        <v>-8403458</v>
      </c>
      <c r="E57" s="16"/>
      <c r="F57" s="14">
        <f>SUM(F53:F56)</f>
        <v>9027718</v>
      </c>
      <c r="G57" s="16"/>
      <c r="H57" s="14">
        <f>SUM(H53:H56)</f>
        <v>0</v>
      </c>
      <c r="I57" s="16"/>
      <c r="J57" s="14">
        <f>SUM(J53:J56)</f>
        <v>0</v>
      </c>
    </row>
    <row r="58" spans="1:10" ht="20.45" customHeight="1">
      <c r="B58" s="12"/>
      <c r="D58" s="16"/>
      <c r="E58" s="16"/>
      <c r="F58" s="16"/>
      <c r="G58" s="16"/>
      <c r="H58" s="16"/>
      <c r="I58" s="16"/>
      <c r="J58" s="16"/>
    </row>
    <row r="59" spans="1:10" ht="20.45" customHeight="1">
      <c r="A59" s="57" t="s">
        <v>212</v>
      </c>
      <c r="B59" s="12"/>
      <c r="D59" s="16"/>
      <c r="E59" s="16"/>
      <c r="F59" s="16"/>
      <c r="G59" s="16"/>
      <c r="H59" s="16"/>
      <c r="I59" s="16"/>
      <c r="J59" s="16"/>
    </row>
    <row r="60" spans="1:10" ht="20.45" customHeight="1">
      <c r="A60" s="57" t="s">
        <v>171</v>
      </c>
      <c r="B60" s="12"/>
      <c r="D60" s="16"/>
      <c r="E60" s="16"/>
      <c r="F60" s="16"/>
      <c r="G60" s="16"/>
      <c r="H60" s="16"/>
      <c r="I60" s="16"/>
      <c r="J60" s="16"/>
    </row>
    <row r="61" spans="1:10" ht="20.45" customHeight="1">
      <c r="A61" s="3" t="s">
        <v>261</v>
      </c>
      <c r="B61" s="12"/>
      <c r="D61" s="16">
        <v>812375853</v>
      </c>
      <c r="E61" s="16"/>
      <c r="F61" s="16">
        <v>0</v>
      </c>
      <c r="G61" s="16"/>
      <c r="H61" s="16">
        <v>2270437</v>
      </c>
      <c r="I61" s="16"/>
      <c r="J61" s="16">
        <v>0</v>
      </c>
    </row>
    <row r="62" spans="1:10" ht="20.45" customHeight="1">
      <c r="A62" s="3" t="s">
        <v>203</v>
      </c>
      <c r="B62" s="12">
        <v>26</v>
      </c>
      <c r="D62" s="14">
        <v>0</v>
      </c>
      <c r="E62" s="16"/>
      <c r="F62" s="14">
        <v>-9101458</v>
      </c>
      <c r="G62" s="16"/>
      <c r="H62" s="14">
        <v>0</v>
      </c>
      <c r="I62" s="16"/>
      <c r="J62" s="14">
        <v>-2250883</v>
      </c>
    </row>
    <row r="63" spans="1:10" ht="20.45" customHeight="1">
      <c r="A63" s="3" t="s">
        <v>213</v>
      </c>
      <c r="B63" s="12"/>
      <c r="D63" s="16"/>
      <c r="E63" s="16"/>
      <c r="F63" s="16"/>
      <c r="G63" s="16"/>
      <c r="H63" s="16"/>
      <c r="I63" s="16"/>
      <c r="J63" s="16"/>
    </row>
    <row r="64" spans="1:10" ht="20.45" customHeight="1">
      <c r="A64" s="3" t="s">
        <v>214</v>
      </c>
      <c r="B64" s="12"/>
      <c r="D64" s="14">
        <f>SUM(D61:D63)</f>
        <v>812375853</v>
      </c>
      <c r="E64" s="16"/>
      <c r="F64" s="14">
        <f>SUM(F61:F63)</f>
        <v>-9101458</v>
      </c>
      <c r="G64" s="16"/>
      <c r="H64" s="14">
        <f>SUM(H61:H63)</f>
        <v>2270437</v>
      </c>
      <c r="I64" s="16"/>
      <c r="J64" s="14">
        <f>SUM(J62)</f>
        <v>-2250883</v>
      </c>
    </row>
    <row r="65" spans="1:10" ht="20.45" customHeight="1">
      <c r="A65" s="1" t="s">
        <v>166</v>
      </c>
      <c r="B65" s="12"/>
      <c r="D65" s="15">
        <f>SUM(D57+D64)</f>
        <v>803972395</v>
      </c>
      <c r="E65" s="16"/>
      <c r="F65" s="15">
        <f>SUM(F57+F64)</f>
        <v>-73740</v>
      </c>
      <c r="G65" s="16"/>
      <c r="H65" s="15">
        <f>SUM(H57+H64)</f>
        <v>2270437</v>
      </c>
      <c r="I65" s="16"/>
      <c r="J65" s="15">
        <f>SUM(J57+J64)</f>
        <v>-2250883</v>
      </c>
    </row>
    <row r="66" spans="1:10" ht="20.45" customHeight="1">
      <c r="A66" s="1"/>
      <c r="B66" s="12"/>
      <c r="D66" s="16"/>
      <c r="E66" s="16"/>
      <c r="F66" s="16"/>
      <c r="G66" s="16"/>
      <c r="H66" s="16"/>
      <c r="I66" s="16"/>
      <c r="J66" s="16"/>
    </row>
    <row r="67" spans="1:10" ht="20.45" customHeight="1" thickBot="1">
      <c r="A67" s="1" t="s">
        <v>167</v>
      </c>
      <c r="B67" s="12"/>
      <c r="D67" s="24">
        <f>SUM(D47,D65)</f>
        <v>1162177798</v>
      </c>
      <c r="E67" s="16"/>
      <c r="F67" s="24">
        <f>SUM(F47,F65)</f>
        <v>83152608</v>
      </c>
      <c r="G67" s="16"/>
      <c r="H67" s="24">
        <f>SUM(H47,H65)</f>
        <v>1022526321</v>
      </c>
      <c r="I67" s="16"/>
      <c r="J67" s="24">
        <f>SUM(J47,J65)</f>
        <v>-22050972</v>
      </c>
    </row>
    <row r="68" spans="1:10" ht="20.45" customHeight="1" thickTop="1">
      <c r="B68" s="8"/>
      <c r="D68" s="16"/>
      <c r="E68" s="16"/>
      <c r="F68" s="16"/>
      <c r="G68" s="13"/>
      <c r="H68" s="16"/>
      <c r="I68" s="13"/>
      <c r="J68" s="16"/>
    </row>
    <row r="69" spans="1:10" ht="20.45" customHeight="1">
      <c r="A69" s="1" t="s">
        <v>168</v>
      </c>
      <c r="B69" s="8"/>
      <c r="D69" s="16"/>
      <c r="E69" s="16"/>
      <c r="F69" s="16"/>
      <c r="G69" s="13"/>
      <c r="H69" s="16"/>
      <c r="I69" s="13"/>
      <c r="J69" s="16"/>
    </row>
    <row r="70" spans="1:10" ht="20.45" customHeight="1" thickBot="1">
      <c r="A70" s="3" t="s">
        <v>105</v>
      </c>
      <c r="B70" s="8"/>
      <c r="D70" s="16">
        <v>1165764915</v>
      </c>
      <c r="E70" s="16"/>
      <c r="F70" s="16">
        <v>87946167</v>
      </c>
      <c r="G70" s="13"/>
      <c r="H70" s="24">
        <f>H67-H71</f>
        <v>1022526321</v>
      </c>
      <c r="I70" s="13"/>
      <c r="J70" s="24">
        <f>J67-J71</f>
        <v>-22050972</v>
      </c>
    </row>
    <row r="71" spans="1:10" ht="20.45" customHeight="1" thickTop="1">
      <c r="A71" s="3" t="s">
        <v>104</v>
      </c>
      <c r="B71" s="8"/>
      <c r="D71" s="14">
        <v>-3587117</v>
      </c>
      <c r="E71" s="16"/>
      <c r="F71" s="14">
        <v>-4793559</v>
      </c>
      <c r="G71" s="13"/>
      <c r="H71" s="16"/>
      <c r="I71" s="13"/>
      <c r="J71" s="16"/>
    </row>
    <row r="72" spans="1:10" ht="20.45" customHeight="1" thickBot="1">
      <c r="B72" s="8"/>
      <c r="D72" s="24">
        <f>SUM(D70:D71)</f>
        <v>1162177798</v>
      </c>
      <c r="E72" s="16"/>
      <c r="F72" s="24">
        <f>SUM(F70:F71)</f>
        <v>83152608</v>
      </c>
      <c r="G72" s="13"/>
      <c r="H72" s="16"/>
      <c r="I72" s="13"/>
      <c r="J72" s="16"/>
    </row>
    <row r="73" spans="1:10" ht="20.45" customHeight="1" thickTop="1">
      <c r="B73" s="8"/>
      <c r="D73" s="16">
        <f>D67-D72</f>
        <v>0</v>
      </c>
      <c r="E73" s="18"/>
      <c r="F73" s="16"/>
      <c r="G73" s="25"/>
      <c r="H73" s="26"/>
      <c r="J73" s="26"/>
    </row>
    <row r="74" spans="1:10" ht="20.45" customHeight="1">
      <c r="A74" s="3" t="s">
        <v>18</v>
      </c>
      <c r="D74" s="18"/>
    </row>
  </sheetData>
  <phoneticPr fontId="7" type="noConversion"/>
  <pageMargins left="0.75" right="0.39370078740157483" top="0.78740157480314965" bottom="0.39370078740157483" header="0.19685039370078741" footer="0.19685039370078741"/>
  <pageSetup paperSize="9" scale="78" orientation="portrait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B42"/>
  <sheetViews>
    <sheetView showGridLines="0" tabSelected="1" topLeftCell="A25" zoomScale="145" zoomScaleNormal="145" zoomScaleSheetLayoutView="100" workbookViewId="0">
      <selection activeCell="B32" sqref="B32"/>
    </sheetView>
  </sheetViews>
  <sheetFormatPr defaultColWidth="9.140625" defaultRowHeight="14.85" customHeight="1"/>
  <cols>
    <col min="1" max="1" width="26.5703125" style="106" customWidth="1"/>
    <col min="2" max="2" width="4.7109375" style="106" customWidth="1"/>
    <col min="3" max="3" width="7" style="106" customWidth="1"/>
    <col min="4" max="4" width="1.7109375" style="106" customWidth="1"/>
    <col min="5" max="5" width="1.28515625" style="104" customWidth="1"/>
    <col min="6" max="6" width="11" style="106" customWidth="1"/>
    <col min="7" max="7" width="1.28515625" style="104" customWidth="1"/>
    <col min="8" max="8" width="11" style="106" customWidth="1"/>
    <col min="9" max="9" width="1.28515625" style="104" customWidth="1"/>
    <col min="10" max="10" width="11" style="106" customWidth="1"/>
    <col min="11" max="11" width="1.28515625" style="104" customWidth="1"/>
    <col min="12" max="12" width="11" style="106" customWidth="1"/>
    <col min="13" max="13" width="1.28515625" style="106" customWidth="1"/>
    <col min="14" max="14" width="11" style="106" customWidth="1"/>
    <col min="15" max="15" width="1.28515625" style="104" customWidth="1"/>
    <col min="16" max="16" width="11" style="106" customWidth="1"/>
    <col min="17" max="17" width="1.28515625" style="106" customWidth="1"/>
    <col min="18" max="18" width="11" style="104" customWidth="1"/>
    <col min="19" max="19" width="1.28515625" style="104" customWidth="1"/>
    <col min="20" max="20" width="12" style="104" customWidth="1"/>
    <col min="21" max="21" width="1.28515625" style="104" customWidth="1"/>
    <col min="22" max="22" width="11" style="106" customWidth="1"/>
    <col min="23" max="23" width="1.28515625" style="104" customWidth="1"/>
    <col min="24" max="24" width="11.5703125" style="104" bestFit="1" customWidth="1"/>
    <col min="25" max="25" width="1.28515625" style="104" customWidth="1"/>
    <col min="26" max="26" width="11" style="106" customWidth="1"/>
    <col min="27" max="27" width="1.28515625" style="106" customWidth="1"/>
    <col min="28" max="28" width="11.5703125" style="106" bestFit="1" customWidth="1"/>
    <col min="29" max="16384" width="9.140625" style="106"/>
  </cols>
  <sheetData>
    <row r="1" spans="1:28" s="102" customFormat="1" ht="14.85" customHeight="1">
      <c r="A1" s="102" t="s">
        <v>0</v>
      </c>
      <c r="AB1" s="103"/>
    </row>
    <row r="2" spans="1:28" s="102" customFormat="1" ht="14.85" customHeight="1">
      <c r="A2" s="102" t="s">
        <v>136</v>
      </c>
    </row>
    <row r="3" spans="1:28" s="102" customFormat="1" ht="14.85" customHeight="1">
      <c r="A3" s="102" t="s">
        <v>215</v>
      </c>
    </row>
    <row r="4" spans="1:28" s="104" customFormat="1" ht="14.85" customHeight="1">
      <c r="AB4" s="105" t="s">
        <v>1</v>
      </c>
    </row>
    <row r="5" spans="1:28" ht="14.85" customHeight="1">
      <c r="C5" s="107"/>
      <c r="D5" s="107"/>
      <c r="E5" s="107"/>
      <c r="F5" s="142" t="s">
        <v>2</v>
      </c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</row>
    <row r="6" spans="1:28" s="108" customFormat="1" ht="14.85" customHeight="1">
      <c r="F6" s="141" t="s">
        <v>106</v>
      </c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07"/>
    </row>
    <row r="7" spans="1:28" s="108" customFormat="1" ht="14.85" customHeight="1"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41" t="s">
        <v>107</v>
      </c>
      <c r="Q7" s="141"/>
      <c r="R7" s="141"/>
      <c r="S7" s="141"/>
      <c r="T7" s="141"/>
      <c r="U7" s="141"/>
      <c r="V7" s="141"/>
      <c r="W7" s="107"/>
      <c r="X7" s="107"/>
      <c r="Y7" s="107"/>
    </row>
    <row r="8" spans="1:28" s="108" customFormat="1" ht="14.85" customHeight="1"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41" t="s">
        <v>108</v>
      </c>
      <c r="Q8" s="141"/>
      <c r="R8" s="141"/>
      <c r="S8" s="141"/>
      <c r="T8" s="141"/>
      <c r="U8" s="107"/>
      <c r="V8" s="107"/>
      <c r="W8" s="107"/>
      <c r="X8" s="107"/>
      <c r="Y8" s="107"/>
    </row>
    <row r="9" spans="1:28" s="108" customFormat="1" ht="14.85" customHeight="1"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 t="s">
        <v>109</v>
      </c>
      <c r="Q9" s="107"/>
      <c r="R9" s="107"/>
      <c r="S9" s="107"/>
      <c r="T9" s="107"/>
      <c r="U9" s="107"/>
      <c r="V9" s="107"/>
      <c r="W9" s="107"/>
      <c r="X9" s="107"/>
      <c r="Y9" s="107"/>
    </row>
    <row r="10" spans="1:28" s="108" customFormat="1" ht="14.85" customHeight="1"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 t="s">
        <v>110</v>
      </c>
      <c r="Q10" s="107"/>
      <c r="R10" s="107"/>
      <c r="S10" s="107"/>
      <c r="T10" s="107"/>
      <c r="U10" s="107"/>
      <c r="V10" s="107"/>
      <c r="W10" s="107"/>
      <c r="X10" s="107"/>
      <c r="Y10" s="107"/>
      <c r="Z10" s="108" t="s">
        <v>142</v>
      </c>
    </row>
    <row r="11" spans="1:28" s="108" customFormat="1" ht="14.85" customHeight="1"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 t="s">
        <v>111</v>
      </c>
      <c r="Q11" s="107"/>
      <c r="R11" s="107"/>
      <c r="S11" s="107"/>
      <c r="T11" s="109" t="s">
        <v>178</v>
      </c>
      <c r="U11" s="107"/>
      <c r="V11" s="107" t="s">
        <v>112</v>
      </c>
      <c r="W11" s="107"/>
      <c r="X11" s="107" t="s">
        <v>90</v>
      </c>
      <c r="Y11" s="107"/>
      <c r="Z11" s="108" t="s">
        <v>143</v>
      </c>
    </row>
    <row r="12" spans="1:28" s="108" customFormat="1" ht="14.85" customHeight="1">
      <c r="F12" s="107" t="s">
        <v>83</v>
      </c>
      <c r="G12" s="107"/>
      <c r="I12" s="107"/>
      <c r="K12" s="107"/>
      <c r="L12" s="140" t="s">
        <v>39</v>
      </c>
      <c r="M12" s="140"/>
      <c r="N12" s="140"/>
      <c r="O12" s="107"/>
      <c r="P12" s="108" t="s">
        <v>113</v>
      </c>
      <c r="R12" s="108" t="s">
        <v>85</v>
      </c>
      <c r="S12" s="107"/>
      <c r="T12" s="109" t="s">
        <v>179</v>
      </c>
      <c r="U12" s="107"/>
      <c r="V12" s="108" t="s">
        <v>114</v>
      </c>
      <c r="W12" s="107"/>
      <c r="X12" s="107" t="s">
        <v>115</v>
      </c>
      <c r="Y12" s="107"/>
      <c r="Z12" s="108" t="s">
        <v>116</v>
      </c>
      <c r="AB12" s="108" t="s">
        <v>89</v>
      </c>
    </row>
    <row r="13" spans="1:28" s="108" customFormat="1" ht="14.85" customHeight="1">
      <c r="F13" s="107" t="s">
        <v>84</v>
      </c>
      <c r="G13" s="107"/>
      <c r="I13" s="107"/>
      <c r="K13" s="107"/>
      <c r="L13" s="108" t="s">
        <v>86</v>
      </c>
      <c r="M13" s="107"/>
      <c r="O13" s="107"/>
      <c r="P13" s="108" t="s">
        <v>117</v>
      </c>
      <c r="R13" s="108" t="s">
        <v>91</v>
      </c>
      <c r="S13" s="107"/>
      <c r="T13" s="110" t="s">
        <v>207</v>
      </c>
      <c r="U13" s="107"/>
      <c r="V13" s="108" t="s">
        <v>118</v>
      </c>
      <c r="W13" s="107"/>
      <c r="X13" s="107" t="s">
        <v>119</v>
      </c>
      <c r="Y13" s="107"/>
      <c r="Z13" s="107" t="s">
        <v>120</v>
      </c>
      <c r="AB13" s="108" t="s">
        <v>118</v>
      </c>
    </row>
    <row r="14" spans="1:28" s="108" customFormat="1" ht="14.85" customHeight="1">
      <c r="C14" s="107"/>
      <c r="D14" s="107"/>
      <c r="E14" s="107"/>
      <c r="F14" s="111" t="s">
        <v>87</v>
      </c>
      <c r="G14" s="107"/>
      <c r="H14" s="111" t="s">
        <v>37</v>
      </c>
      <c r="I14" s="107"/>
      <c r="J14" s="111" t="s">
        <v>38</v>
      </c>
      <c r="K14" s="107"/>
      <c r="L14" s="111" t="s">
        <v>93</v>
      </c>
      <c r="M14" s="107"/>
      <c r="N14" s="111" t="s">
        <v>88</v>
      </c>
      <c r="O14" s="107"/>
      <c r="P14" s="111" t="s">
        <v>121</v>
      </c>
      <c r="Q14" s="107"/>
      <c r="R14" s="111" t="s">
        <v>92</v>
      </c>
      <c r="S14" s="107"/>
      <c r="T14" s="111" t="s">
        <v>208</v>
      </c>
      <c r="U14" s="107"/>
      <c r="V14" s="111" t="s">
        <v>122</v>
      </c>
      <c r="W14" s="107"/>
      <c r="X14" s="111" t="s">
        <v>123</v>
      </c>
      <c r="Y14" s="107"/>
      <c r="Z14" s="111" t="s">
        <v>124</v>
      </c>
      <c r="AB14" s="111" t="s">
        <v>122</v>
      </c>
    </row>
    <row r="15" spans="1:28" s="108" customFormat="1" ht="14.85" customHeight="1">
      <c r="A15" s="102" t="s">
        <v>222</v>
      </c>
      <c r="C15" s="107"/>
      <c r="F15" s="112">
        <v>1666827010</v>
      </c>
      <c r="G15" s="113"/>
      <c r="H15" s="112">
        <v>2062460582</v>
      </c>
      <c r="I15" s="113"/>
      <c r="J15" s="112">
        <v>568130588</v>
      </c>
      <c r="K15" s="113"/>
      <c r="L15" s="112">
        <v>211675358</v>
      </c>
      <c r="M15" s="113"/>
      <c r="N15" s="112">
        <v>2970280205</v>
      </c>
      <c r="O15" s="113"/>
      <c r="P15" s="112">
        <v>113690579</v>
      </c>
      <c r="Q15" s="112"/>
      <c r="R15" s="112">
        <v>4799913498</v>
      </c>
      <c r="S15" s="113"/>
      <c r="T15" s="113">
        <v>8909760</v>
      </c>
      <c r="U15" s="113"/>
      <c r="V15" s="112">
        <f>SUM(P15:T15)</f>
        <v>4922513837</v>
      </c>
      <c r="W15" s="113"/>
      <c r="X15" s="112">
        <f>SUM(F15:N15,V15)</f>
        <v>12401887580</v>
      </c>
      <c r="Y15" s="113"/>
      <c r="Z15" s="112">
        <v>258790598</v>
      </c>
      <c r="AA15" s="113"/>
      <c r="AB15" s="113">
        <f>SUM(X15:Z15)</f>
        <v>12660678178</v>
      </c>
    </row>
    <row r="16" spans="1:28" s="108" customFormat="1" ht="14.85" customHeight="1">
      <c r="A16" s="106" t="s">
        <v>223</v>
      </c>
      <c r="C16" s="107"/>
      <c r="F16" s="112"/>
      <c r="G16" s="113"/>
      <c r="H16" s="112"/>
      <c r="I16" s="113"/>
      <c r="J16" s="112"/>
      <c r="K16" s="113"/>
      <c r="L16" s="112"/>
      <c r="M16" s="113"/>
      <c r="N16" s="112"/>
      <c r="O16" s="113"/>
      <c r="P16" s="112"/>
      <c r="Q16" s="112"/>
      <c r="R16" s="112"/>
      <c r="S16" s="113"/>
      <c r="T16" s="113"/>
      <c r="U16" s="113"/>
      <c r="V16" s="112"/>
      <c r="W16" s="113"/>
      <c r="X16" s="112"/>
      <c r="Y16" s="113"/>
      <c r="Z16" s="112"/>
      <c r="AA16" s="113"/>
      <c r="AB16" s="113"/>
    </row>
    <row r="17" spans="1:28" s="108" customFormat="1" ht="14.85" customHeight="1">
      <c r="A17" s="106" t="s">
        <v>237</v>
      </c>
      <c r="C17" s="107"/>
      <c r="F17" s="114">
        <v>0</v>
      </c>
      <c r="G17" s="113"/>
      <c r="H17" s="114">
        <v>0</v>
      </c>
      <c r="I17" s="113"/>
      <c r="J17" s="114">
        <v>0</v>
      </c>
      <c r="K17" s="113"/>
      <c r="L17" s="114">
        <v>0</v>
      </c>
      <c r="M17" s="113"/>
      <c r="N17" s="114">
        <v>48899162</v>
      </c>
      <c r="O17" s="113"/>
      <c r="P17" s="114">
        <v>0</v>
      </c>
      <c r="Q17" s="112"/>
      <c r="R17" s="114">
        <v>0</v>
      </c>
      <c r="S17" s="113"/>
      <c r="T17" s="114">
        <v>0</v>
      </c>
      <c r="U17" s="113"/>
      <c r="V17" s="114">
        <f>SUM(P17:T17)</f>
        <v>0</v>
      </c>
      <c r="W17" s="113"/>
      <c r="X17" s="114">
        <f>SUM(F17:N17,V17)</f>
        <v>48899162</v>
      </c>
      <c r="Y17" s="113"/>
      <c r="Z17" s="114">
        <v>26289</v>
      </c>
      <c r="AA17" s="113"/>
      <c r="AB17" s="115">
        <f>SUM(X17:Z17)</f>
        <v>48925451</v>
      </c>
    </row>
    <row r="18" spans="1:28" ht="14.85" customHeight="1">
      <c r="A18" s="102" t="s">
        <v>224</v>
      </c>
      <c r="C18" s="116"/>
      <c r="E18" s="106"/>
      <c r="F18" s="112">
        <v>1666827010</v>
      </c>
      <c r="G18" s="113"/>
      <c r="H18" s="112">
        <v>2062460582</v>
      </c>
      <c r="I18" s="113"/>
      <c r="J18" s="112">
        <v>568130588</v>
      </c>
      <c r="K18" s="113"/>
      <c r="L18" s="112">
        <v>211675358</v>
      </c>
      <c r="M18" s="113"/>
      <c r="N18" s="112">
        <f>SUM(N15:N17)</f>
        <v>3019179367</v>
      </c>
      <c r="O18" s="113"/>
      <c r="P18" s="112">
        <v>113690579</v>
      </c>
      <c r="Q18" s="112"/>
      <c r="R18" s="112">
        <v>4799913498</v>
      </c>
      <c r="S18" s="113"/>
      <c r="T18" s="113">
        <v>8909760</v>
      </c>
      <c r="U18" s="113"/>
      <c r="V18" s="112">
        <f>SUM(P18:T18)</f>
        <v>4922513837</v>
      </c>
      <c r="W18" s="117"/>
      <c r="X18" s="112">
        <f>SUM(X15:X17)</f>
        <v>12450786742</v>
      </c>
      <c r="Y18" s="117"/>
      <c r="Z18" s="112">
        <f>SUM(Z15:Z17)</f>
        <v>258816887</v>
      </c>
      <c r="AA18" s="113"/>
      <c r="AB18" s="112">
        <f>SUM(X18:Z18)</f>
        <v>12709603629</v>
      </c>
    </row>
    <row r="19" spans="1:28" ht="14.85" customHeight="1">
      <c r="A19" s="106" t="s">
        <v>243</v>
      </c>
      <c r="C19" s="116"/>
      <c r="D19" s="116"/>
      <c r="E19" s="116"/>
      <c r="F19" s="118">
        <v>0</v>
      </c>
      <c r="G19" s="112"/>
      <c r="H19" s="118">
        <v>0</v>
      </c>
      <c r="I19" s="112"/>
      <c r="J19" s="118">
        <v>0</v>
      </c>
      <c r="K19" s="112"/>
      <c r="L19" s="118">
        <v>0</v>
      </c>
      <c r="M19" s="112"/>
      <c r="N19" s="119">
        <f>87697415+2</f>
        <v>87697417</v>
      </c>
      <c r="O19" s="113"/>
      <c r="P19" s="119">
        <v>0</v>
      </c>
      <c r="Q19" s="118"/>
      <c r="R19" s="118">
        <v>0</v>
      </c>
      <c r="S19" s="112"/>
      <c r="T19" s="112">
        <v>0</v>
      </c>
      <c r="U19" s="112"/>
      <c r="V19" s="112">
        <f>SUM(P19:T19)</f>
        <v>0</v>
      </c>
      <c r="W19" s="117"/>
      <c r="X19" s="112">
        <f>SUM(F19:N19,V19)</f>
        <v>87697417</v>
      </c>
      <c r="Y19" s="113"/>
      <c r="Z19" s="119">
        <f>-4471068-1</f>
        <v>-4471069</v>
      </c>
      <c r="AA19" s="113"/>
      <c r="AB19" s="112">
        <f>SUM(X19:Z19)</f>
        <v>83226348</v>
      </c>
    </row>
    <row r="20" spans="1:28" ht="14.85" customHeight="1">
      <c r="A20" s="106" t="s">
        <v>166</v>
      </c>
      <c r="C20" s="116"/>
      <c r="D20" s="116"/>
      <c r="E20" s="116"/>
      <c r="F20" s="120">
        <v>0</v>
      </c>
      <c r="G20" s="112"/>
      <c r="H20" s="120">
        <v>0</v>
      </c>
      <c r="I20" s="112"/>
      <c r="J20" s="120">
        <v>0</v>
      </c>
      <c r="K20" s="112"/>
      <c r="L20" s="120">
        <v>0</v>
      </c>
      <c r="M20" s="112"/>
      <c r="N20" s="121">
        <v>-9101458</v>
      </c>
      <c r="O20" s="113"/>
      <c r="P20" s="121">
        <v>8327123</v>
      </c>
      <c r="Q20" s="118"/>
      <c r="R20" s="120">
        <v>0</v>
      </c>
      <c r="S20" s="112"/>
      <c r="T20" s="114">
        <v>1023085</v>
      </c>
      <c r="U20" s="112"/>
      <c r="V20" s="114">
        <f>SUM(P20:T20)</f>
        <v>9350208</v>
      </c>
      <c r="W20" s="117"/>
      <c r="X20" s="114">
        <f>SUM(F20:N20,V20)</f>
        <v>248750</v>
      </c>
      <c r="Y20" s="113"/>
      <c r="Z20" s="121">
        <v>-322490</v>
      </c>
      <c r="AA20" s="113"/>
      <c r="AB20" s="114">
        <f>SUM(X20:Z20)</f>
        <v>-73740</v>
      </c>
    </row>
    <row r="21" spans="1:28" ht="14.85" customHeight="1">
      <c r="A21" s="106" t="s">
        <v>239</v>
      </c>
      <c r="E21" s="106"/>
      <c r="F21" s="118">
        <f>SUM(F19:F20)</f>
        <v>0</v>
      </c>
      <c r="G21" s="112"/>
      <c r="H21" s="118">
        <f>SUM(H19:H20)</f>
        <v>0</v>
      </c>
      <c r="I21" s="112"/>
      <c r="J21" s="118">
        <f>SUM(J19:J20)</f>
        <v>0</v>
      </c>
      <c r="K21" s="112"/>
      <c r="L21" s="118">
        <f>SUM(L19:L20)</f>
        <v>0</v>
      </c>
      <c r="M21" s="112"/>
      <c r="N21" s="118">
        <f>SUM(N19:N20)</f>
        <v>78595959</v>
      </c>
      <c r="O21" s="113"/>
      <c r="P21" s="118">
        <f>SUM(P19:P20)</f>
        <v>8327123</v>
      </c>
      <c r="Q21" s="118"/>
      <c r="R21" s="118">
        <f>SUM(R19:R20)</f>
        <v>0</v>
      </c>
      <c r="S21" s="112"/>
      <c r="T21" s="118">
        <f>SUM(T19:T20)</f>
        <v>1023085</v>
      </c>
      <c r="U21" s="112"/>
      <c r="V21" s="118">
        <f>SUM(V19:V20)</f>
        <v>9350208</v>
      </c>
      <c r="W21" s="112">
        <f>SUM(Q21:V21)</f>
        <v>10373293</v>
      </c>
      <c r="X21" s="118">
        <f>SUM(X19:X20)</f>
        <v>87946167</v>
      </c>
      <c r="Y21" s="113"/>
      <c r="Z21" s="118">
        <f>SUM(Z19:Z20)</f>
        <v>-4793559</v>
      </c>
      <c r="AA21" s="113"/>
      <c r="AB21" s="118">
        <f>SUM(AB19:AB20)</f>
        <v>83152608</v>
      </c>
    </row>
    <row r="22" spans="1:28" ht="14.85" customHeight="1">
      <c r="A22" s="106" t="s">
        <v>255</v>
      </c>
      <c r="C22" s="116"/>
      <c r="D22" s="116"/>
      <c r="E22" s="116"/>
      <c r="F22" s="112">
        <v>0</v>
      </c>
      <c r="G22" s="112"/>
      <c r="H22" s="112">
        <v>0</v>
      </c>
      <c r="I22" s="112"/>
      <c r="J22" s="112">
        <v>0</v>
      </c>
      <c r="K22" s="112"/>
      <c r="L22" s="112">
        <v>0</v>
      </c>
      <c r="M22" s="112"/>
      <c r="N22" s="112">
        <v>-63338698</v>
      </c>
      <c r="O22" s="112"/>
      <c r="P22" s="112">
        <v>0</v>
      </c>
      <c r="Q22" s="112"/>
      <c r="R22" s="112">
        <v>0</v>
      </c>
      <c r="S22" s="112"/>
      <c r="T22" s="112">
        <v>0</v>
      </c>
      <c r="U22" s="112"/>
      <c r="V22" s="112">
        <f>SUM(P22:T22)</f>
        <v>0</v>
      </c>
      <c r="W22" s="112"/>
      <c r="X22" s="112">
        <f>SUM(F22:N22,V22)</f>
        <v>-63338698</v>
      </c>
      <c r="Y22" s="117"/>
      <c r="Z22" s="112"/>
      <c r="AA22" s="113"/>
      <c r="AB22" s="112">
        <f>SUM(X22:Z22)</f>
        <v>-63338698</v>
      </c>
    </row>
    <row r="23" spans="1:28" s="122" customFormat="1" ht="14.85" customHeight="1">
      <c r="A23" s="122" t="s">
        <v>256</v>
      </c>
      <c r="C23" s="123"/>
      <c r="D23" s="123"/>
      <c r="E23" s="123"/>
      <c r="F23" s="124">
        <v>0</v>
      </c>
      <c r="G23" s="124"/>
      <c r="H23" s="124">
        <v>0</v>
      </c>
      <c r="I23" s="124"/>
      <c r="J23" s="124">
        <v>0</v>
      </c>
      <c r="K23" s="124"/>
      <c r="L23" s="124">
        <v>0</v>
      </c>
      <c r="M23" s="124"/>
      <c r="N23" s="124">
        <v>9100404</v>
      </c>
      <c r="O23" s="124"/>
      <c r="P23" s="124">
        <v>0</v>
      </c>
      <c r="Q23" s="124"/>
      <c r="R23" s="124">
        <v>-9100404</v>
      </c>
      <c r="S23" s="124"/>
      <c r="T23" s="124">
        <v>0</v>
      </c>
      <c r="U23" s="124"/>
      <c r="V23" s="112">
        <f>SUM(P23:T23)</f>
        <v>-9100404</v>
      </c>
      <c r="W23" s="124"/>
      <c r="X23" s="112">
        <f>SUM(F23:N23,V23)</f>
        <v>0</v>
      </c>
      <c r="Y23" s="125"/>
      <c r="Z23" s="124">
        <v>0</v>
      </c>
      <c r="AA23" s="126"/>
      <c r="AB23" s="112">
        <f>SUM(X23:Z23)</f>
        <v>0</v>
      </c>
    </row>
    <row r="24" spans="1:28" s="122" customFormat="1" ht="14.85" customHeight="1">
      <c r="A24" s="122" t="s">
        <v>195</v>
      </c>
      <c r="C24" s="123"/>
      <c r="D24" s="123"/>
      <c r="E24" s="123"/>
      <c r="F24" s="124">
        <v>0</v>
      </c>
      <c r="G24" s="124"/>
      <c r="H24" s="124">
        <v>0</v>
      </c>
      <c r="I24" s="124"/>
      <c r="J24" s="124">
        <v>0</v>
      </c>
      <c r="K24" s="124"/>
      <c r="L24" s="124">
        <v>0</v>
      </c>
      <c r="M24" s="124"/>
      <c r="N24" s="124">
        <v>0</v>
      </c>
      <c r="O24" s="124"/>
      <c r="P24" s="124">
        <v>0</v>
      </c>
      <c r="Q24" s="124"/>
      <c r="R24" s="124">
        <v>0</v>
      </c>
      <c r="S24" s="124"/>
      <c r="T24" s="124">
        <v>0</v>
      </c>
      <c r="U24" s="124"/>
      <c r="V24" s="112">
        <f>SUM(P24:T24)</f>
        <v>0</v>
      </c>
      <c r="W24" s="124"/>
      <c r="X24" s="112">
        <f>SUM(F24:N24,V24)</f>
        <v>0</v>
      </c>
      <c r="Y24" s="125"/>
      <c r="Z24" s="124">
        <v>-3540</v>
      </c>
      <c r="AA24" s="126"/>
      <c r="AB24" s="112">
        <f>SUM(X24:Z24)</f>
        <v>-3540</v>
      </c>
    </row>
    <row r="25" spans="1:28" ht="14.85" customHeight="1" thickBot="1">
      <c r="A25" s="102" t="s">
        <v>226</v>
      </c>
      <c r="E25" s="106"/>
      <c r="F25" s="127">
        <f>SUM(F18,F21:F24)</f>
        <v>1666827010</v>
      </c>
      <c r="G25" s="113"/>
      <c r="H25" s="127">
        <f>SUM(H18,H21:H24)</f>
        <v>2062460582</v>
      </c>
      <c r="I25" s="113"/>
      <c r="J25" s="127">
        <f>SUM(J18,J21:J24)</f>
        <v>568130588</v>
      </c>
      <c r="K25" s="113"/>
      <c r="L25" s="127">
        <f>SUM(L18,L21:L24)</f>
        <v>211675358</v>
      </c>
      <c r="M25" s="113"/>
      <c r="N25" s="127">
        <f>SUM(N18,N21:N24)</f>
        <v>3043537032</v>
      </c>
      <c r="O25" s="113"/>
      <c r="P25" s="127">
        <f>SUM(P18,P21:P24)</f>
        <v>122017702</v>
      </c>
      <c r="Q25" s="112"/>
      <c r="R25" s="127">
        <f>SUM(R18,R21:R24)</f>
        <v>4790813094</v>
      </c>
      <c r="S25" s="113"/>
      <c r="T25" s="127">
        <f>SUM(T18,T21:T24)</f>
        <v>9932845</v>
      </c>
      <c r="U25" s="113"/>
      <c r="V25" s="127">
        <f>SUM(V18,V21:V24)</f>
        <v>4922763641</v>
      </c>
      <c r="W25" s="113"/>
      <c r="X25" s="127">
        <f>SUM(X18,X21:X24)</f>
        <v>12475394211</v>
      </c>
      <c r="Y25" s="113"/>
      <c r="Z25" s="127">
        <f>SUM(Z18,Z21:Z24)</f>
        <v>254019788</v>
      </c>
      <c r="AA25" s="113"/>
      <c r="AB25" s="127">
        <f>SUM(AB18,AB21:AB24)</f>
        <v>12729413999</v>
      </c>
    </row>
    <row r="26" spans="1:28" ht="14.85" customHeight="1" thickTop="1">
      <c r="A26" s="102"/>
      <c r="C26" s="116"/>
      <c r="D26" s="128"/>
      <c r="E26" s="129"/>
      <c r="F26" s="112"/>
      <c r="G26" s="113"/>
      <c r="H26" s="112"/>
      <c r="I26" s="113"/>
      <c r="J26" s="112"/>
      <c r="K26" s="113"/>
      <c r="L26" s="112"/>
      <c r="M26" s="113"/>
      <c r="N26" s="112"/>
      <c r="O26" s="113"/>
      <c r="P26" s="112"/>
      <c r="Q26" s="112"/>
      <c r="R26" s="112"/>
      <c r="S26" s="113"/>
      <c r="T26" s="113"/>
      <c r="U26" s="113"/>
      <c r="V26" s="112"/>
      <c r="W26" s="113"/>
      <c r="X26" s="113"/>
      <c r="Y26" s="113"/>
      <c r="Z26" s="112"/>
      <c r="AA26" s="113"/>
      <c r="AB26" s="130"/>
    </row>
    <row r="27" spans="1:28" ht="14.85" customHeight="1">
      <c r="A27" s="102" t="s">
        <v>225</v>
      </c>
      <c r="C27" s="116"/>
      <c r="E27" s="106"/>
      <c r="F27" s="112">
        <f>SUM(F25)</f>
        <v>1666827010</v>
      </c>
      <c r="G27" s="113"/>
      <c r="H27" s="112">
        <f>SUM(H25)</f>
        <v>2062460582</v>
      </c>
      <c r="I27" s="113"/>
      <c r="J27" s="112">
        <f>SUM(J25)</f>
        <v>568130588</v>
      </c>
      <c r="K27" s="113"/>
      <c r="L27" s="112">
        <f>SUM(L25)</f>
        <v>211675358</v>
      </c>
      <c r="M27" s="113"/>
      <c r="N27" s="112">
        <v>2986959213</v>
      </c>
      <c r="O27" s="113"/>
      <c r="P27" s="112">
        <f>SUM(P25)</f>
        <v>122017702</v>
      </c>
      <c r="Q27" s="112"/>
      <c r="R27" s="112">
        <f>SUM(R25)</f>
        <v>4790813094</v>
      </c>
      <c r="S27" s="113"/>
      <c r="T27" s="112">
        <f>SUM(T25)</f>
        <v>9932845</v>
      </c>
      <c r="U27" s="113"/>
      <c r="V27" s="112">
        <f>SUM(P27:T27)</f>
        <v>4922763641</v>
      </c>
      <c r="W27" s="113"/>
      <c r="X27" s="112">
        <f>SUM(F27:N27,V27)</f>
        <v>12418816392</v>
      </c>
      <c r="Y27" s="113"/>
      <c r="Z27" s="112">
        <v>254019788</v>
      </c>
      <c r="AA27" s="113"/>
      <c r="AB27" s="113">
        <f>SUM(X27:Z27)</f>
        <v>12672836180</v>
      </c>
    </row>
    <row r="28" spans="1:28" ht="14.85" customHeight="1">
      <c r="A28" s="106" t="s">
        <v>223</v>
      </c>
      <c r="C28" s="116"/>
      <c r="E28" s="106"/>
      <c r="F28" s="112"/>
      <c r="G28" s="113"/>
      <c r="H28" s="112"/>
      <c r="I28" s="113"/>
      <c r="J28" s="112"/>
      <c r="K28" s="113"/>
      <c r="L28" s="112"/>
      <c r="M28" s="113"/>
      <c r="N28" s="112"/>
      <c r="O28" s="113"/>
      <c r="P28" s="112"/>
      <c r="Q28" s="112"/>
      <c r="R28" s="112"/>
      <c r="S28" s="113"/>
      <c r="T28" s="113"/>
      <c r="U28" s="113"/>
      <c r="V28" s="112"/>
      <c r="W28" s="113"/>
      <c r="X28" s="112"/>
      <c r="Y28" s="113"/>
      <c r="Z28" s="112"/>
      <c r="AA28" s="113"/>
      <c r="AB28" s="113"/>
    </row>
    <row r="29" spans="1:28" ht="14.85" customHeight="1">
      <c r="A29" s="106" t="s">
        <v>237</v>
      </c>
      <c r="C29" s="116"/>
      <c r="E29" s="106"/>
      <c r="F29" s="114">
        <v>0</v>
      </c>
      <c r="G29" s="113"/>
      <c r="H29" s="114">
        <v>0</v>
      </c>
      <c r="I29" s="113"/>
      <c r="J29" s="114">
        <v>0</v>
      </c>
      <c r="K29" s="113"/>
      <c r="L29" s="114">
        <v>0</v>
      </c>
      <c r="M29" s="113"/>
      <c r="N29" s="114">
        <v>56577819</v>
      </c>
      <c r="O29" s="113"/>
      <c r="P29" s="114">
        <v>0</v>
      </c>
      <c r="Q29" s="112"/>
      <c r="R29" s="114">
        <v>0</v>
      </c>
      <c r="S29" s="113"/>
      <c r="T29" s="114">
        <v>0</v>
      </c>
      <c r="U29" s="113"/>
      <c r="V29" s="114">
        <f>SUM(P29:T29)</f>
        <v>0</v>
      </c>
      <c r="W29" s="113"/>
      <c r="X29" s="114">
        <f>SUM(F29:N29,V29)</f>
        <v>56577819</v>
      </c>
      <c r="Y29" s="113"/>
      <c r="Z29" s="114">
        <v>0</v>
      </c>
      <c r="AA29" s="113"/>
      <c r="AB29" s="115">
        <f>SUM(X29:Z29)</f>
        <v>56577819</v>
      </c>
    </row>
    <row r="30" spans="1:28" ht="14.85" customHeight="1">
      <c r="A30" s="102" t="s">
        <v>226</v>
      </c>
      <c r="C30" s="116"/>
      <c r="E30" s="106"/>
      <c r="F30" s="112">
        <f>SUM(F27:F29)</f>
        <v>1666827010</v>
      </c>
      <c r="G30" s="113"/>
      <c r="H30" s="112">
        <f>SUM(H27:H29)</f>
        <v>2062460582</v>
      </c>
      <c r="I30" s="113"/>
      <c r="J30" s="112">
        <f>SUM(J27:J29)</f>
        <v>568130588</v>
      </c>
      <c r="K30" s="113"/>
      <c r="L30" s="112">
        <f>SUM(L27:L29)</f>
        <v>211675358</v>
      </c>
      <c r="M30" s="113"/>
      <c r="N30" s="112">
        <f>SUM(N27:N29)</f>
        <v>3043537032</v>
      </c>
      <c r="O30" s="113"/>
      <c r="P30" s="112">
        <f>SUM(P27:P29)</f>
        <v>122017702</v>
      </c>
      <c r="Q30" s="112"/>
      <c r="R30" s="112">
        <f>SUM(R27:R29)</f>
        <v>4790813094</v>
      </c>
      <c r="S30" s="113"/>
      <c r="T30" s="112">
        <f>SUM(T27:T29)</f>
        <v>9932845</v>
      </c>
      <c r="U30" s="113"/>
      <c r="V30" s="112">
        <f>SUM(P30:T30)</f>
        <v>4922763641</v>
      </c>
      <c r="W30" s="117"/>
      <c r="X30" s="112">
        <f>SUM(F30:N30,V30)</f>
        <v>12475394211</v>
      </c>
      <c r="Y30" s="117"/>
      <c r="Z30" s="112">
        <f>SUM(Z27:Z29)</f>
        <v>254019788</v>
      </c>
      <c r="AA30" s="113"/>
      <c r="AB30" s="112">
        <f>SUM(X30:Z30)</f>
        <v>12729413999</v>
      </c>
    </row>
    <row r="31" spans="1:28" ht="14.85" customHeight="1">
      <c r="A31" s="106" t="s">
        <v>199</v>
      </c>
      <c r="C31" s="116"/>
      <c r="D31" s="116"/>
      <c r="E31" s="116"/>
      <c r="F31" s="118">
        <v>0</v>
      </c>
      <c r="G31" s="112"/>
      <c r="H31" s="118">
        <v>0</v>
      </c>
      <c r="I31" s="112"/>
      <c r="J31" s="118">
        <v>0</v>
      </c>
      <c r="K31" s="112"/>
      <c r="L31" s="118">
        <v>0</v>
      </c>
      <c r="M31" s="112"/>
      <c r="N31" s="119">
        <f>SUM(pl!D31)</f>
        <v>364101439</v>
      </c>
      <c r="O31" s="113"/>
      <c r="P31" s="119">
        <v>0</v>
      </c>
      <c r="Q31" s="118"/>
      <c r="R31" s="118">
        <v>0</v>
      </c>
      <c r="S31" s="112"/>
      <c r="T31" s="112">
        <v>0</v>
      </c>
      <c r="U31" s="112"/>
      <c r="V31" s="112">
        <f>SUM(P31:T31)</f>
        <v>0</v>
      </c>
      <c r="W31" s="117"/>
      <c r="X31" s="112">
        <f>SUM(F31:N31,V31)</f>
        <v>364101439</v>
      </c>
      <c r="Y31" s="113"/>
      <c r="Z31" s="119">
        <v>-5896036</v>
      </c>
      <c r="AA31" s="113"/>
      <c r="AB31" s="112">
        <f>SUM(X31:Z31)</f>
        <v>358205403</v>
      </c>
    </row>
    <row r="32" spans="1:28" ht="14.85" customHeight="1">
      <c r="A32" s="106" t="s">
        <v>166</v>
      </c>
      <c r="C32" s="116"/>
      <c r="D32" s="116"/>
      <c r="E32" s="116"/>
      <c r="F32" s="120">
        <v>0</v>
      </c>
      <c r="G32" s="112"/>
      <c r="H32" s="120">
        <v>0</v>
      </c>
      <c r="I32" s="112"/>
      <c r="J32" s="120">
        <v>0</v>
      </c>
      <c r="K32" s="112"/>
      <c r="L32" s="120">
        <v>0</v>
      </c>
      <c r="M32" s="112"/>
      <c r="N32" s="121">
        <v>0</v>
      </c>
      <c r="O32" s="112"/>
      <c r="P32" s="121">
        <v>2310045</v>
      </c>
      <c r="Q32" s="112"/>
      <c r="R32" s="121">
        <v>809897493</v>
      </c>
      <c r="S32" s="112"/>
      <c r="T32" s="121">
        <v>-10544062</v>
      </c>
      <c r="U32" s="112"/>
      <c r="V32" s="114">
        <f>SUM(P32:T32)</f>
        <v>801663476</v>
      </c>
      <c r="W32" s="112"/>
      <c r="X32" s="114">
        <f>SUM(F32:N32,V32)</f>
        <v>801663476</v>
      </c>
      <c r="Y32" s="112"/>
      <c r="Z32" s="121">
        <f>2308918+1</f>
        <v>2308919</v>
      </c>
      <c r="AA32" s="112"/>
      <c r="AB32" s="114">
        <f>SUM(X32:Z32)</f>
        <v>803972395</v>
      </c>
    </row>
    <row r="33" spans="1:28" ht="14.85" customHeight="1">
      <c r="A33" s="106" t="s">
        <v>167</v>
      </c>
      <c r="E33" s="106"/>
      <c r="F33" s="118">
        <f>SUM(F31:F32)</f>
        <v>0</v>
      </c>
      <c r="G33" s="112"/>
      <c r="H33" s="118">
        <f>SUM(H31:H32)</f>
        <v>0</v>
      </c>
      <c r="I33" s="112"/>
      <c r="J33" s="118">
        <f>SUM(J31:J32)</f>
        <v>0</v>
      </c>
      <c r="K33" s="112"/>
      <c r="L33" s="118">
        <f>SUM(L31:L32)</f>
        <v>0</v>
      </c>
      <c r="M33" s="112"/>
      <c r="N33" s="118">
        <f>SUM(N31:N32)</f>
        <v>364101439</v>
      </c>
      <c r="O33" s="118"/>
      <c r="P33" s="118">
        <f>SUM(P31:P32)</f>
        <v>2310045</v>
      </c>
      <c r="Q33" s="118"/>
      <c r="R33" s="118">
        <f>SUM(R31:R32)</f>
        <v>809897493</v>
      </c>
      <c r="S33" s="118"/>
      <c r="T33" s="118">
        <f>SUM(T31:T32)</f>
        <v>-10544062</v>
      </c>
      <c r="U33" s="118"/>
      <c r="V33" s="118">
        <f>SUM(V31:V32)</f>
        <v>801663476</v>
      </c>
      <c r="W33" s="118"/>
      <c r="X33" s="118">
        <f>SUM(X31:X32)</f>
        <v>1165764915</v>
      </c>
      <c r="Y33" s="118"/>
      <c r="Z33" s="118">
        <f>SUM(Z31:Z32)</f>
        <v>-3587117</v>
      </c>
      <c r="AA33" s="118"/>
      <c r="AB33" s="118">
        <f>SUM(AB31:AB32)</f>
        <v>1162177798</v>
      </c>
    </row>
    <row r="34" spans="1:28" ht="14.85" customHeight="1">
      <c r="A34" s="106" t="s">
        <v>255</v>
      </c>
      <c r="C34" s="116"/>
      <c r="D34" s="116"/>
      <c r="E34" s="116"/>
      <c r="F34" s="112">
        <v>0</v>
      </c>
      <c r="G34" s="112"/>
      <c r="H34" s="112">
        <v>0</v>
      </c>
      <c r="I34" s="112"/>
      <c r="J34" s="112">
        <v>0</v>
      </c>
      <c r="K34" s="112"/>
      <c r="L34" s="112">
        <v>0</v>
      </c>
      <c r="M34" s="112"/>
      <c r="N34" s="112">
        <v>-1568466187</v>
      </c>
      <c r="O34" s="112"/>
      <c r="P34" s="112">
        <v>0</v>
      </c>
      <c r="Q34" s="112"/>
      <c r="R34" s="112">
        <v>0</v>
      </c>
      <c r="S34" s="112"/>
      <c r="T34" s="112">
        <v>0</v>
      </c>
      <c r="U34" s="112"/>
      <c r="V34" s="112">
        <f>SUM(P34:T34)</f>
        <v>0</v>
      </c>
      <c r="W34" s="112"/>
      <c r="X34" s="112">
        <f>SUM(F34:N34,V34)</f>
        <v>-1568466187</v>
      </c>
      <c r="Y34" s="117"/>
      <c r="Z34" s="112">
        <v>0</v>
      </c>
      <c r="AA34" s="113"/>
      <c r="AB34" s="112">
        <f>SUM(X34:Z34)</f>
        <v>-1568466187</v>
      </c>
    </row>
    <row r="35" spans="1:28" ht="14.85" customHeight="1">
      <c r="A35" s="106" t="s">
        <v>274</v>
      </c>
      <c r="C35" s="116"/>
      <c r="D35" s="116"/>
      <c r="E35" s="116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7"/>
      <c r="Z35" s="112"/>
      <c r="AA35" s="113"/>
      <c r="AB35" s="112"/>
    </row>
    <row r="36" spans="1:28" ht="14.85" customHeight="1">
      <c r="A36" s="106" t="s">
        <v>275</v>
      </c>
      <c r="C36" s="116"/>
      <c r="D36" s="116"/>
      <c r="E36" s="116"/>
      <c r="F36" s="112">
        <v>0</v>
      </c>
      <c r="G36" s="112"/>
      <c r="H36" s="112">
        <v>0</v>
      </c>
      <c r="I36" s="112"/>
      <c r="J36" s="112">
        <v>0</v>
      </c>
      <c r="K36" s="112"/>
      <c r="L36" s="112">
        <v>0</v>
      </c>
      <c r="M36" s="112"/>
      <c r="N36" s="112">
        <v>0</v>
      </c>
      <c r="O36" s="112"/>
      <c r="P36" s="112">
        <v>0</v>
      </c>
      <c r="Q36" s="112"/>
      <c r="R36" s="112">
        <v>0</v>
      </c>
      <c r="S36" s="112"/>
      <c r="T36" s="112">
        <v>0</v>
      </c>
      <c r="U36" s="112"/>
      <c r="V36" s="112">
        <f>SUM(P36:T36)</f>
        <v>0</v>
      </c>
      <c r="W36" s="112"/>
      <c r="X36" s="112">
        <f>SUM(F36:N36,V36)</f>
        <v>0</v>
      </c>
      <c r="Y36" s="117"/>
      <c r="Z36" s="112">
        <v>-110554150</v>
      </c>
      <c r="AA36" s="113"/>
      <c r="AB36" s="112">
        <f>SUM(X36:Z36)</f>
        <v>-110554150</v>
      </c>
    </row>
    <row r="37" spans="1:28" s="122" customFormat="1" ht="14.85" customHeight="1">
      <c r="A37" s="122" t="s">
        <v>256</v>
      </c>
      <c r="C37" s="123"/>
      <c r="D37" s="123"/>
      <c r="E37" s="123"/>
      <c r="F37" s="124">
        <v>0</v>
      </c>
      <c r="G37" s="124"/>
      <c r="H37" s="124">
        <v>0</v>
      </c>
      <c r="I37" s="124"/>
      <c r="J37" s="124">
        <v>0</v>
      </c>
      <c r="K37" s="124"/>
      <c r="L37" s="124">
        <v>0</v>
      </c>
      <c r="M37" s="124"/>
      <c r="N37" s="124">
        <v>19769877</v>
      </c>
      <c r="O37" s="124"/>
      <c r="P37" s="124">
        <v>0</v>
      </c>
      <c r="Q37" s="124"/>
      <c r="R37" s="124">
        <v>-19769877</v>
      </c>
      <c r="S37" s="124"/>
      <c r="T37" s="124">
        <v>0</v>
      </c>
      <c r="U37" s="124"/>
      <c r="V37" s="112">
        <f>SUM(P37:T37)</f>
        <v>-19769877</v>
      </c>
      <c r="W37" s="124"/>
      <c r="X37" s="112">
        <f>SUM(F37:N37,V37)</f>
        <v>0</v>
      </c>
      <c r="Y37" s="125"/>
      <c r="Z37" s="124">
        <v>0</v>
      </c>
      <c r="AA37" s="126"/>
      <c r="AB37" s="112">
        <f>SUM(X37:Z37)</f>
        <v>0</v>
      </c>
    </row>
    <row r="38" spans="1:28" ht="14.85" customHeight="1" thickBot="1">
      <c r="A38" s="102" t="s">
        <v>217</v>
      </c>
      <c r="E38" s="106"/>
      <c r="F38" s="127">
        <f>SUM(F30,F33:F37)</f>
        <v>1666827010</v>
      </c>
      <c r="G38" s="113"/>
      <c r="H38" s="127">
        <f>SUM(H30,H33:H37)</f>
        <v>2062460582</v>
      </c>
      <c r="I38" s="113"/>
      <c r="J38" s="127">
        <f>SUM(J30,J33:J37)</f>
        <v>568130588</v>
      </c>
      <c r="K38" s="113"/>
      <c r="L38" s="127">
        <f>SUM(L30,L33:L37)</f>
        <v>211675358</v>
      </c>
      <c r="M38" s="113"/>
      <c r="N38" s="127">
        <f>SUM(N30,N33:N37)</f>
        <v>1858942161</v>
      </c>
      <c r="O38" s="113"/>
      <c r="P38" s="127">
        <f>SUM(P30,P33:P37)</f>
        <v>124327747</v>
      </c>
      <c r="Q38" s="112"/>
      <c r="R38" s="127">
        <f>SUM(R30,R33:R37)</f>
        <v>5580940710</v>
      </c>
      <c r="S38" s="113"/>
      <c r="T38" s="127">
        <f>SUM(T30,T33:T37)</f>
        <v>-611217</v>
      </c>
      <c r="U38" s="113"/>
      <c r="V38" s="127">
        <f>SUM(V30,V33:V37)</f>
        <v>5704657240</v>
      </c>
      <c r="W38" s="113"/>
      <c r="X38" s="127">
        <f>SUM(X30,X33:X37)</f>
        <v>12072692939</v>
      </c>
      <c r="Y38" s="113"/>
      <c r="Z38" s="127">
        <f>SUM(Z30,Z33:Z37)</f>
        <v>139878521</v>
      </c>
      <c r="AA38" s="113"/>
      <c r="AB38" s="127">
        <f>SUM(AB30,AB33:AB37)</f>
        <v>12212571460</v>
      </c>
    </row>
    <row r="39" spans="1:28" ht="14.85" customHeight="1" thickTop="1">
      <c r="A39" s="102"/>
      <c r="E39" s="106"/>
      <c r="F39" s="112">
        <f>F25-bs!F71</f>
        <v>0</v>
      </c>
      <c r="G39" s="113"/>
      <c r="H39" s="112">
        <f>H25-bs!F72</f>
        <v>0</v>
      </c>
      <c r="I39" s="113"/>
      <c r="J39" s="112">
        <f>J25-bs!F73</f>
        <v>0</v>
      </c>
      <c r="K39" s="113"/>
      <c r="L39" s="112">
        <f>L25-bs!F75</f>
        <v>0</v>
      </c>
      <c r="M39" s="113"/>
      <c r="N39" s="112">
        <f>N25-bs!F76</f>
        <v>0</v>
      </c>
      <c r="O39" s="113"/>
      <c r="P39" s="112"/>
      <c r="Q39" s="112"/>
      <c r="R39" s="112"/>
      <c r="S39" s="113"/>
      <c r="T39" s="112"/>
      <c r="U39" s="113"/>
      <c r="V39" s="112">
        <f>V25-bs!F77</f>
        <v>0</v>
      </c>
      <c r="W39" s="113"/>
      <c r="X39" s="112">
        <f>X25-bs!F78</f>
        <v>0</v>
      </c>
      <c r="Y39" s="113"/>
      <c r="Z39" s="112">
        <f>Z25-bs!F80</f>
        <v>0</v>
      </c>
      <c r="AA39" s="113"/>
      <c r="AB39" s="112">
        <f>AB25-bs!F81</f>
        <v>0</v>
      </c>
    </row>
    <row r="40" spans="1:28" ht="14.85" customHeight="1">
      <c r="E40" s="106"/>
      <c r="F40" s="112">
        <f>F38-bs!D71</f>
        <v>0</v>
      </c>
      <c r="G40" s="113"/>
      <c r="H40" s="112">
        <f>H38-bs!D72</f>
        <v>0</v>
      </c>
      <c r="I40" s="113"/>
      <c r="J40" s="112">
        <f>J38-bs!D73</f>
        <v>0</v>
      </c>
      <c r="K40" s="113"/>
      <c r="L40" s="112">
        <f>L38-bs!D75</f>
        <v>0</v>
      </c>
      <c r="M40" s="113"/>
      <c r="N40" s="112">
        <f>N38-bs!D76</f>
        <v>0</v>
      </c>
      <c r="O40" s="113"/>
      <c r="P40" s="112"/>
      <c r="Q40" s="112"/>
      <c r="R40" s="112"/>
      <c r="S40" s="113"/>
      <c r="T40" s="113"/>
      <c r="U40" s="113"/>
      <c r="V40" s="112">
        <f>V38-bs!D77</f>
        <v>0</v>
      </c>
      <c r="W40" s="113"/>
      <c r="X40" s="112">
        <f>X38-bs!D78</f>
        <v>0</v>
      </c>
      <c r="Y40" s="113"/>
      <c r="Z40" s="112">
        <f>Z38-bs!D80</f>
        <v>0</v>
      </c>
      <c r="AA40" s="113"/>
      <c r="AB40" s="112">
        <f>AB38-bs!D81</f>
        <v>0</v>
      </c>
    </row>
    <row r="41" spans="1:28" ht="14.85" customHeight="1">
      <c r="A41" s="106" t="s">
        <v>18</v>
      </c>
      <c r="E41" s="106"/>
      <c r="F41" s="112"/>
      <c r="G41" s="113"/>
      <c r="H41" s="112"/>
      <c r="I41" s="113"/>
      <c r="J41" s="112"/>
      <c r="K41" s="113"/>
      <c r="L41" s="112"/>
      <c r="M41" s="113"/>
      <c r="N41" s="112"/>
      <c r="O41" s="113"/>
      <c r="P41" s="112"/>
      <c r="Q41" s="112"/>
      <c r="R41" s="112"/>
      <c r="S41" s="113"/>
      <c r="T41" s="113"/>
      <c r="U41" s="113"/>
      <c r="V41" s="112"/>
      <c r="W41" s="113"/>
      <c r="X41" s="112"/>
      <c r="Y41" s="113"/>
      <c r="Z41" s="112"/>
      <c r="AA41" s="113"/>
      <c r="AB41" s="112"/>
    </row>
    <row r="42" spans="1:28" ht="14.85" customHeight="1">
      <c r="E42" s="106"/>
      <c r="F42" s="112"/>
      <c r="G42" s="113"/>
      <c r="H42" s="112"/>
      <c r="I42" s="113"/>
      <c r="J42" s="112"/>
      <c r="K42" s="113"/>
      <c r="L42" s="112"/>
      <c r="M42" s="113"/>
      <c r="N42" s="112"/>
      <c r="O42" s="113"/>
      <c r="P42" s="112"/>
      <c r="Q42" s="112"/>
      <c r="R42" s="112"/>
      <c r="S42" s="113"/>
      <c r="T42" s="113"/>
      <c r="U42" s="113"/>
      <c r="V42" s="112"/>
      <c r="W42" s="113"/>
      <c r="X42" s="112"/>
      <c r="Y42" s="113"/>
      <c r="Z42" s="112"/>
      <c r="AA42" s="113"/>
      <c r="AB42" s="112"/>
    </row>
  </sheetData>
  <mergeCells count="5">
    <mergeCell ref="L12:N12"/>
    <mergeCell ref="P8:T8"/>
    <mergeCell ref="F5:AB5"/>
    <mergeCell ref="F6:X6"/>
    <mergeCell ref="P7:V7"/>
  </mergeCells>
  <phoneticPr fontId="7" type="noConversion"/>
  <printOptions horizontalCentered="1"/>
  <pageMargins left="0.35433070866141736" right="0.19685039370078741" top="0.98425196850393704" bottom="0.19685039370078741" header="0.19685039370078741" footer="0.19685039370078741"/>
  <pageSetup paperSize="9" scale="75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T28"/>
  <sheetViews>
    <sheetView showGridLines="0" topLeftCell="A10" zoomScaleNormal="100" zoomScaleSheetLayoutView="100" workbookViewId="0">
      <selection activeCell="A23" sqref="A23"/>
    </sheetView>
  </sheetViews>
  <sheetFormatPr defaultColWidth="9.140625" defaultRowHeight="15.75" customHeight="1"/>
  <cols>
    <col min="1" max="1" width="14.85546875" style="30" customWidth="1"/>
    <col min="2" max="3" width="5.7109375" style="30" customWidth="1"/>
    <col min="4" max="4" width="10.5703125" style="30" customWidth="1"/>
    <col min="5" max="5" width="1.28515625" style="31" customWidth="1"/>
    <col min="6" max="6" width="12.7109375" style="30" customWidth="1"/>
    <col min="7" max="7" width="2.7109375" style="31" customWidth="1"/>
    <col min="8" max="8" width="12.7109375" style="30" customWidth="1"/>
    <col min="9" max="9" width="2.7109375" style="31" customWidth="1"/>
    <col min="10" max="10" width="12.7109375" style="30" customWidth="1"/>
    <col min="11" max="11" width="2.7109375" style="30" customWidth="1"/>
    <col min="12" max="12" width="12.5703125" style="32" customWidth="1"/>
    <col min="13" max="13" width="2.7109375" style="33" customWidth="1"/>
    <col min="14" max="14" width="20.42578125" style="32" customWidth="1"/>
    <col min="15" max="15" width="2.85546875" style="32" customWidth="1"/>
    <col min="16" max="16" width="12.5703125" style="33" customWidth="1"/>
    <col min="17" max="17" width="2.42578125" style="33" customWidth="1"/>
    <col min="18" max="18" width="12.7109375" style="30" customWidth="1"/>
    <col min="19" max="19" width="1.7109375" style="30" customWidth="1"/>
    <col min="20" max="20" width="8.85546875" style="30" customWidth="1"/>
    <col min="21" max="16384" width="9.140625" style="30"/>
  </cols>
  <sheetData>
    <row r="1" spans="1:20" s="27" customFormat="1" ht="15.75" customHeight="1">
      <c r="A1" s="27" t="s">
        <v>0</v>
      </c>
      <c r="L1" s="28"/>
      <c r="M1" s="28"/>
      <c r="N1" s="28"/>
      <c r="O1" s="28"/>
      <c r="P1" s="51"/>
      <c r="Q1" s="51"/>
      <c r="R1" s="29"/>
    </row>
    <row r="2" spans="1:20" s="27" customFormat="1" ht="15.75" customHeight="1">
      <c r="A2" s="27" t="s">
        <v>134</v>
      </c>
      <c r="L2" s="28"/>
      <c r="M2" s="28"/>
      <c r="N2" s="28"/>
      <c r="O2" s="28"/>
      <c r="P2" s="51"/>
      <c r="Q2" s="51"/>
    </row>
    <row r="3" spans="1:20" s="27" customFormat="1" ht="15.75" customHeight="1">
      <c r="A3" s="27" t="s">
        <v>215</v>
      </c>
      <c r="L3" s="28"/>
      <c r="M3" s="28"/>
      <c r="N3" s="28"/>
      <c r="O3" s="28"/>
      <c r="P3" s="51"/>
      <c r="Q3" s="51"/>
    </row>
    <row r="4" spans="1:20" ht="15.75" customHeight="1">
      <c r="N4" s="29"/>
      <c r="O4" s="29"/>
      <c r="P4" s="52"/>
      <c r="Q4" s="52"/>
      <c r="R4" s="29" t="s">
        <v>1</v>
      </c>
      <c r="T4" s="34"/>
    </row>
    <row r="5" spans="1:20" ht="15.75" customHeight="1">
      <c r="D5" s="35"/>
      <c r="E5" s="35"/>
      <c r="F5" s="143" t="s">
        <v>3</v>
      </c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35"/>
      <c r="T5" s="35"/>
    </row>
    <row r="6" spans="1:20" ht="15.75" customHeight="1">
      <c r="D6" s="35"/>
      <c r="E6" s="35"/>
      <c r="F6" s="31"/>
      <c r="H6" s="31"/>
      <c r="J6" s="31"/>
      <c r="K6" s="31"/>
      <c r="L6" s="33"/>
      <c r="N6" s="145" t="s">
        <v>159</v>
      </c>
      <c r="O6" s="145"/>
      <c r="P6" s="145"/>
      <c r="Q6" s="54"/>
      <c r="R6" s="31"/>
      <c r="S6" s="35"/>
      <c r="T6" s="35"/>
    </row>
    <row r="7" spans="1:20" ht="22.5">
      <c r="D7" s="35"/>
      <c r="E7" s="35"/>
      <c r="F7" s="31"/>
      <c r="H7" s="31"/>
      <c r="J7" s="31"/>
      <c r="K7" s="31"/>
      <c r="L7" s="33"/>
      <c r="N7" s="132" t="s">
        <v>160</v>
      </c>
      <c r="O7" s="39"/>
      <c r="P7" s="133" t="s">
        <v>112</v>
      </c>
      <c r="Q7" s="54"/>
      <c r="R7" s="31"/>
      <c r="S7" s="35"/>
      <c r="T7" s="35"/>
    </row>
    <row r="8" spans="1:20" s="37" customFormat="1" ht="15.75" customHeight="1">
      <c r="F8" s="37" t="s">
        <v>83</v>
      </c>
      <c r="G8" s="35"/>
      <c r="I8" s="38"/>
      <c r="J8" s="144" t="s">
        <v>39</v>
      </c>
      <c r="K8" s="144"/>
      <c r="L8" s="144"/>
      <c r="M8" s="36"/>
      <c r="N8" s="36" t="s">
        <v>162</v>
      </c>
      <c r="O8" s="39"/>
      <c r="P8" s="36" t="s">
        <v>164</v>
      </c>
      <c r="Q8" s="54"/>
      <c r="R8" s="38" t="s">
        <v>89</v>
      </c>
    </row>
    <row r="9" spans="1:20" s="37" customFormat="1" ht="15.75" customHeight="1">
      <c r="F9" s="35" t="s">
        <v>84</v>
      </c>
      <c r="G9" s="35"/>
      <c r="I9" s="38"/>
      <c r="J9" s="40" t="s">
        <v>86</v>
      </c>
      <c r="K9" s="38"/>
      <c r="L9" s="39"/>
      <c r="M9" s="36"/>
      <c r="N9" s="55" t="s">
        <v>163</v>
      </c>
      <c r="O9" s="39"/>
      <c r="P9" s="36" t="s">
        <v>118</v>
      </c>
      <c r="Q9" s="54"/>
      <c r="R9" s="38" t="s">
        <v>118</v>
      </c>
    </row>
    <row r="10" spans="1:20" s="37" customFormat="1" ht="15.75" customHeight="1">
      <c r="C10" s="35"/>
      <c r="D10" s="35"/>
      <c r="F10" s="41" t="s">
        <v>87</v>
      </c>
      <c r="G10" s="35"/>
      <c r="H10" s="41" t="s">
        <v>37</v>
      </c>
      <c r="I10" s="38"/>
      <c r="J10" s="131" t="s">
        <v>93</v>
      </c>
      <c r="K10" s="38"/>
      <c r="L10" s="53" t="s">
        <v>88</v>
      </c>
      <c r="M10" s="36"/>
      <c r="N10" s="56" t="s">
        <v>92</v>
      </c>
      <c r="O10" s="36"/>
      <c r="P10" s="53" t="s">
        <v>122</v>
      </c>
      <c r="Q10" s="54"/>
      <c r="R10" s="131" t="s">
        <v>122</v>
      </c>
    </row>
    <row r="11" spans="1:20" ht="15.75" customHeight="1">
      <c r="A11" s="27" t="s">
        <v>193</v>
      </c>
      <c r="F11" s="44">
        <v>1666827010</v>
      </c>
      <c r="G11" s="42"/>
      <c r="H11" s="44">
        <v>2062460582</v>
      </c>
      <c r="I11" s="42"/>
      <c r="J11" s="44">
        <v>211675358</v>
      </c>
      <c r="K11" s="42"/>
      <c r="L11" s="44">
        <v>1531571228</v>
      </c>
      <c r="M11" s="43"/>
      <c r="N11" s="44">
        <v>142718799</v>
      </c>
      <c r="O11" s="42"/>
      <c r="P11" s="44">
        <f>SUM(N11)</f>
        <v>142718799</v>
      </c>
      <c r="Q11" s="44"/>
      <c r="R11" s="44">
        <f>SUM(F11:N11)</f>
        <v>5615252977</v>
      </c>
    </row>
    <row r="12" spans="1:20" ht="15.75" customHeight="1">
      <c r="A12" s="32" t="s">
        <v>244</v>
      </c>
      <c r="F12" s="44">
        <v>0</v>
      </c>
      <c r="G12" s="42"/>
      <c r="H12" s="44">
        <v>0</v>
      </c>
      <c r="I12" s="42"/>
      <c r="J12" s="44">
        <v>0</v>
      </c>
      <c r="K12" s="42"/>
      <c r="L12" s="45">
        <v>-19800089</v>
      </c>
      <c r="M12" s="43"/>
      <c r="N12" s="45">
        <v>0</v>
      </c>
      <c r="O12" s="42"/>
      <c r="P12" s="44">
        <f>SUM(N12)</f>
        <v>0</v>
      </c>
      <c r="Q12" s="45"/>
      <c r="R12" s="44">
        <f>SUM(F12:N12)</f>
        <v>-19800089</v>
      </c>
    </row>
    <row r="13" spans="1:20" ht="15.75" customHeight="1">
      <c r="A13" s="32" t="s">
        <v>166</v>
      </c>
      <c r="F13" s="46">
        <v>0</v>
      </c>
      <c r="G13" s="42"/>
      <c r="H13" s="46">
        <v>0</v>
      </c>
      <c r="I13" s="42"/>
      <c r="J13" s="46">
        <v>0</v>
      </c>
      <c r="K13" s="42"/>
      <c r="L13" s="48">
        <v>-2250883</v>
      </c>
      <c r="M13" s="43"/>
      <c r="N13" s="48">
        <v>0</v>
      </c>
      <c r="O13" s="42"/>
      <c r="P13" s="47">
        <f>SUM(N13)</f>
        <v>0</v>
      </c>
      <c r="Q13" s="50"/>
      <c r="R13" s="47">
        <f>SUM(F13:O13)</f>
        <v>-2250883</v>
      </c>
    </row>
    <row r="14" spans="1:20" ht="15.75" customHeight="1">
      <c r="A14" s="30" t="s">
        <v>169</v>
      </c>
      <c r="F14" s="62">
        <f>SUM(F12:F13)</f>
        <v>0</v>
      </c>
      <c r="G14" s="42"/>
      <c r="H14" s="62">
        <f>SUM(H12:H13)</f>
        <v>0</v>
      </c>
      <c r="I14" s="42"/>
      <c r="J14" s="62">
        <f>SUM(J12:J13)</f>
        <v>0</v>
      </c>
      <c r="K14" s="42"/>
      <c r="L14" s="62">
        <f>SUM(L12:L13)</f>
        <v>-22050972</v>
      </c>
      <c r="M14" s="43"/>
      <c r="N14" s="62">
        <f>SUM(N12:N13)</f>
        <v>0</v>
      </c>
      <c r="O14" s="42"/>
      <c r="P14" s="62">
        <f>SUM(P12:P13)</f>
        <v>0</v>
      </c>
      <c r="Q14" s="50"/>
      <c r="R14" s="62">
        <f>SUM(R12:R13)</f>
        <v>-22050972</v>
      </c>
    </row>
    <row r="15" spans="1:20" ht="15.75" customHeight="1">
      <c r="A15" s="32" t="s">
        <v>255</v>
      </c>
      <c r="F15" s="44">
        <v>0</v>
      </c>
      <c r="G15" s="42"/>
      <c r="H15" s="44">
        <v>0</v>
      </c>
      <c r="I15" s="42"/>
      <c r="J15" s="44">
        <v>0</v>
      </c>
      <c r="K15" s="42"/>
      <c r="L15" s="45">
        <v>-63338698</v>
      </c>
      <c r="M15" s="43"/>
      <c r="N15" s="45">
        <v>0</v>
      </c>
      <c r="O15" s="42"/>
      <c r="P15" s="44">
        <f>SUM(N15)</f>
        <v>0</v>
      </c>
      <c r="Q15" s="45"/>
      <c r="R15" s="44">
        <f>SUM(F15:N15)</f>
        <v>-63338698</v>
      </c>
    </row>
    <row r="16" spans="1:20" ht="15.75" customHeight="1">
      <c r="A16" s="32" t="s">
        <v>204</v>
      </c>
      <c r="G16" s="30"/>
      <c r="I16" s="30"/>
      <c r="L16" s="30"/>
      <c r="M16" s="30"/>
      <c r="N16" s="30"/>
      <c r="O16" s="30"/>
      <c r="P16" s="30"/>
      <c r="Q16" s="30"/>
    </row>
    <row r="17" spans="1:18" ht="15.75" customHeight="1">
      <c r="A17" s="32" t="s">
        <v>257</v>
      </c>
      <c r="F17" s="46">
        <v>0</v>
      </c>
      <c r="G17" s="42"/>
      <c r="H17" s="46">
        <v>0</v>
      </c>
      <c r="I17" s="42"/>
      <c r="J17" s="46">
        <v>0</v>
      </c>
      <c r="K17" s="42"/>
      <c r="L17" s="48">
        <v>3675844</v>
      </c>
      <c r="M17" s="43"/>
      <c r="N17" s="48">
        <v>-3675844</v>
      </c>
      <c r="O17" s="42"/>
      <c r="P17" s="44">
        <f>SUM(N17)</f>
        <v>-3675844</v>
      </c>
      <c r="Q17" s="50"/>
      <c r="R17" s="47">
        <f>SUM(F17:O17)</f>
        <v>0</v>
      </c>
    </row>
    <row r="18" spans="1:18" ht="15.75" customHeight="1" thickBot="1">
      <c r="A18" s="27" t="s">
        <v>194</v>
      </c>
      <c r="F18" s="49">
        <f>SUM(F11,F14:F17)</f>
        <v>1666827010</v>
      </c>
      <c r="G18" s="42"/>
      <c r="H18" s="49">
        <f>SUM(H11,H14:H17)</f>
        <v>2062460582</v>
      </c>
      <c r="I18" s="42"/>
      <c r="J18" s="49">
        <f>SUM(J11,J14:J17)</f>
        <v>211675358</v>
      </c>
      <c r="K18" s="42"/>
      <c r="L18" s="49">
        <f>SUM(L11,L14:L17)</f>
        <v>1449857402</v>
      </c>
      <c r="M18" s="43"/>
      <c r="N18" s="49">
        <f>SUM(N11,N14:N17)</f>
        <v>139042955</v>
      </c>
      <c r="O18" s="42"/>
      <c r="P18" s="49">
        <f>SUM(P11,P14:P17)</f>
        <v>139042955</v>
      </c>
      <c r="Q18" s="44"/>
      <c r="R18" s="49">
        <f>SUM(R11,R14:R17)</f>
        <v>5529863307</v>
      </c>
    </row>
    <row r="19" spans="1:18" ht="15.75" customHeight="1" thickTop="1">
      <c r="A19" s="32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1"/>
      <c r="R19" s="60"/>
    </row>
    <row r="20" spans="1:18" ht="15.75" customHeight="1">
      <c r="A20" s="27" t="s">
        <v>216</v>
      </c>
      <c r="F20" s="44">
        <f>F18</f>
        <v>1666827010</v>
      </c>
      <c r="G20" s="42"/>
      <c r="H20" s="44">
        <f>H18</f>
        <v>2062460582</v>
      </c>
      <c r="I20" s="42"/>
      <c r="J20" s="44">
        <f>J18</f>
        <v>211675358</v>
      </c>
      <c r="K20" s="42"/>
      <c r="L20" s="44">
        <f>L18</f>
        <v>1449857402</v>
      </c>
      <c r="M20" s="43"/>
      <c r="N20" s="44">
        <f>N18</f>
        <v>139042955</v>
      </c>
      <c r="O20" s="42"/>
      <c r="P20" s="44">
        <f>P18</f>
        <v>139042955</v>
      </c>
      <c r="Q20" s="44"/>
      <c r="R20" s="44">
        <f>SUM(F20:N20)</f>
        <v>5529863307</v>
      </c>
    </row>
    <row r="21" spans="1:18" ht="15.75" customHeight="1">
      <c r="A21" s="32" t="s">
        <v>170</v>
      </c>
      <c r="F21" s="44">
        <v>0</v>
      </c>
      <c r="G21" s="42"/>
      <c r="H21" s="44">
        <v>0</v>
      </c>
      <c r="I21" s="42"/>
      <c r="J21" s="44">
        <v>0</v>
      </c>
      <c r="K21" s="42"/>
      <c r="L21" s="45">
        <f>SUM(pl!H28)</f>
        <v>1020255884</v>
      </c>
      <c r="M21" s="43"/>
      <c r="N21" s="45">
        <v>0</v>
      </c>
      <c r="O21" s="42"/>
      <c r="P21" s="44">
        <f>SUM(N21)</f>
        <v>0</v>
      </c>
      <c r="Q21" s="45"/>
      <c r="R21" s="44">
        <f>SUM(F21:N21)</f>
        <v>1020255884</v>
      </c>
    </row>
    <row r="22" spans="1:18" ht="15.75" customHeight="1">
      <c r="A22" s="32" t="s">
        <v>166</v>
      </c>
      <c r="F22" s="47">
        <v>0</v>
      </c>
      <c r="G22" s="42"/>
      <c r="H22" s="47">
        <v>0</v>
      </c>
      <c r="I22" s="42"/>
      <c r="J22" s="47">
        <v>0</v>
      </c>
      <c r="K22" s="42"/>
      <c r="L22" s="64">
        <v>0</v>
      </c>
      <c r="M22" s="43"/>
      <c r="N22" s="64">
        <v>2270437</v>
      </c>
      <c r="O22" s="42"/>
      <c r="P22" s="47">
        <f>SUM(N22)</f>
        <v>2270437</v>
      </c>
      <c r="Q22" s="45"/>
      <c r="R22" s="47">
        <f t="shared" ref="R22" si="0">SUM(F22:N22)</f>
        <v>2270437</v>
      </c>
    </row>
    <row r="23" spans="1:18" ht="15.75" customHeight="1">
      <c r="A23" s="30" t="s">
        <v>245</v>
      </c>
      <c r="F23" s="62">
        <f>SUM(F21:F22)</f>
        <v>0</v>
      </c>
      <c r="G23" s="42"/>
      <c r="H23" s="62">
        <f>SUM(H21:H22)</f>
        <v>0</v>
      </c>
      <c r="I23" s="42"/>
      <c r="J23" s="62">
        <f>SUM(J21:J22)</f>
        <v>0</v>
      </c>
      <c r="K23" s="42"/>
      <c r="L23" s="62">
        <f>SUM(L21:L22)</f>
        <v>1020255884</v>
      </c>
      <c r="M23" s="43"/>
      <c r="N23" s="62">
        <f>SUM(N21:N22)</f>
        <v>2270437</v>
      </c>
      <c r="O23" s="42"/>
      <c r="P23" s="62">
        <f>SUM(P21:P22)</f>
        <v>2270437</v>
      </c>
      <c r="Q23" s="50"/>
      <c r="R23" s="62">
        <f>SUM(R21:R22)</f>
        <v>1022526321</v>
      </c>
    </row>
    <row r="24" spans="1:18" ht="15.75" customHeight="1">
      <c r="A24" s="32" t="s">
        <v>255</v>
      </c>
      <c r="F24" s="44">
        <v>0</v>
      </c>
      <c r="G24" s="42"/>
      <c r="H24" s="44">
        <v>0</v>
      </c>
      <c r="I24" s="42"/>
      <c r="J24" s="44">
        <v>0</v>
      </c>
      <c r="K24" s="42"/>
      <c r="L24" s="45">
        <v>-1568466187</v>
      </c>
      <c r="M24" s="43"/>
      <c r="N24" s="45">
        <v>0</v>
      </c>
      <c r="O24" s="42"/>
      <c r="P24" s="44">
        <f>SUM(N24)</f>
        <v>0</v>
      </c>
      <c r="Q24" s="45"/>
      <c r="R24" s="44">
        <f>SUM(F24:N24)</f>
        <v>-1568466187</v>
      </c>
    </row>
    <row r="25" spans="1:18" ht="15.75" customHeight="1" thickBot="1">
      <c r="A25" s="27" t="s">
        <v>217</v>
      </c>
      <c r="F25" s="49">
        <f>SUM(F20,F23:F24)</f>
        <v>1666827010</v>
      </c>
      <c r="G25" s="42"/>
      <c r="H25" s="49">
        <f>SUM(H20,H23:H24)</f>
        <v>2062460582</v>
      </c>
      <c r="I25" s="42"/>
      <c r="J25" s="49">
        <f>SUM(J20,J23:J24)</f>
        <v>211675358</v>
      </c>
      <c r="K25" s="42"/>
      <c r="L25" s="49">
        <f>SUM(L20,L23:L24)</f>
        <v>901647099</v>
      </c>
      <c r="M25" s="43"/>
      <c r="N25" s="49">
        <f>SUM(N20,N23:N24)</f>
        <v>141313392</v>
      </c>
      <c r="O25" s="42"/>
      <c r="P25" s="49">
        <f>SUM(P20,P23:P24)</f>
        <v>141313392</v>
      </c>
      <c r="Q25" s="44"/>
      <c r="R25" s="49">
        <f>SUM(R20,R23:R24)</f>
        <v>4983923441</v>
      </c>
    </row>
    <row r="26" spans="1:18" ht="15.75" customHeight="1" thickTop="1">
      <c r="A26" s="27"/>
      <c r="F26" s="44">
        <f>F20-bs!L71</f>
        <v>0</v>
      </c>
      <c r="G26" s="42"/>
      <c r="H26" s="44">
        <f>H20-bs!L72</f>
        <v>0</v>
      </c>
      <c r="I26" s="42"/>
      <c r="J26" s="44">
        <f>J20-bs!L75</f>
        <v>0</v>
      </c>
      <c r="K26" s="42"/>
      <c r="L26" s="44">
        <f>L20-bs!L76</f>
        <v>0</v>
      </c>
      <c r="M26" s="43"/>
      <c r="N26" s="44"/>
      <c r="O26" s="42"/>
      <c r="P26" s="44">
        <f>P20-bs!L77</f>
        <v>0</v>
      </c>
      <c r="Q26" s="44"/>
      <c r="R26" s="44">
        <f>R20-bs!L78</f>
        <v>0</v>
      </c>
    </row>
    <row r="27" spans="1:18" ht="15.75" customHeight="1">
      <c r="A27" s="27"/>
      <c r="F27" s="44">
        <f>F25-bs!J71</f>
        <v>0</v>
      </c>
      <c r="G27" s="42"/>
      <c r="H27" s="44">
        <f>H25-bs!J72</f>
        <v>0</v>
      </c>
      <c r="I27" s="42"/>
      <c r="J27" s="44">
        <f>J25-bs!J75</f>
        <v>0</v>
      </c>
      <c r="K27" s="42"/>
      <c r="L27" s="44">
        <f>L25-bs!J76</f>
        <v>0</v>
      </c>
      <c r="M27" s="43"/>
      <c r="N27" s="44"/>
      <c r="O27" s="42"/>
      <c r="P27" s="44">
        <f>P25-bs!J77</f>
        <v>0</v>
      </c>
      <c r="Q27" s="44"/>
      <c r="R27" s="44">
        <f>R25-bs!J78</f>
        <v>0</v>
      </c>
    </row>
    <row r="28" spans="1:18" ht="15.75" customHeight="1">
      <c r="A28" s="30" t="s">
        <v>18</v>
      </c>
    </row>
  </sheetData>
  <mergeCells count="3">
    <mergeCell ref="F5:R5"/>
    <mergeCell ref="J8:L8"/>
    <mergeCell ref="N6:P6"/>
  </mergeCells>
  <phoneticPr fontId="7" type="noConversion"/>
  <printOptions horizontalCentered="1"/>
  <pageMargins left="0.19685039370078741" right="0.19685039370078741" top="0.98425196850393704" bottom="0.19685039370078741" header="0.19685039370078741" footer="0.19685039370078741"/>
  <pageSetup paperSize="9" scale="90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N105"/>
  <sheetViews>
    <sheetView showGridLines="0" view="pageBreakPreview" topLeftCell="A67" zoomScaleNormal="85" zoomScaleSheetLayoutView="100" workbookViewId="0">
      <selection activeCell="H93" sqref="H93"/>
    </sheetView>
  </sheetViews>
  <sheetFormatPr defaultColWidth="9.140625" defaultRowHeight="21" customHeight="1"/>
  <cols>
    <col min="1" max="1" width="49.5703125" style="3" customWidth="1"/>
    <col min="2" max="2" width="4.710937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9.140625" style="3"/>
    <col min="12" max="12" width="13.28515625" style="3" bestFit="1" customWidth="1"/>
    <col min="13" max="13" width="9.140625" style="3"/>
    <col min="14" max="14" width="11.42578125" style="3" bestFit="1" customWidth="1"/>
    <col min="15" max="16384" width="9.140625" style="3"/>
  </cols>
  <sheetData>
    <row r="1" spans="1:14" s="1" customFormat="1" ht="17.45" customHeight="1">
      <c r="A1" s="1" t="s">
        <v>0</v>
      </c>
      <c r="D1" s="2"/>
      <c r="F1" s="2"/>
      <c r="H1" s="2"/>
      <c r="J1" s="2"/>
    </row>
    <row r="2" spans="1:14" s="1" customFormat="1" ht="17.45" customHeight="1">
      <c r="A2" s="1" t="s">
        <v>132</v>
      </c>
      <c r="D2" s="2"/>
      <c r="F2" s="2"/>
      <c r="H2" s="2"/>
      <c r="J2" s="2"/>
    </row>
    <row r="3" spans="1:14" s="1" customFormat="1" ht="17.45" customHeight="1">
      <c r="A3" s="1" t="s">
        <v>215</v>
      </c>
      <c r="D3" s="2"/>
      <c r="F3" s="2"/>
      <c r="H3" s="2"/>
      <c r="J3" s="2"/>
    </row>
    <row r="4" spans="1:14" s="8" customFormat="1" ht="17.45" customHeight="1">
      <c r="D4" s="4"/>
      <c r="E4" s="3"/>
      <c r="F4" s="4"/>
      <c r="G4" s="3"/>
      <c r="H4" s="5"/>
      <c r="I4" s="3"/>
      <c r="J4" s="5" t="s">
        <v>1</v>
      </c>
    </row>
    <row r="5" spans="1:14" s="6" customFormat="1" ht="17.45" customHeight="1">
      <c r="D5" s="7"/>
      <c r="E5" s="63" t="s">
        <v>2</v>
      </c>
      <c r="F5" s="7"/>
      <c r="H5" s="7"/>
      <c r="I5" s="63" t="s">
        <v>3</v>
      </c>
      <c r="J5" s="7"/>
    </row>
    <row r="6" spans="1:14" s="8" customFormat="1" ht="17.45" customHeight="1">
      <c r="B6" s="9"/>
      <c r="D6" s="10">
        <v>2019</v>
      </c>
      <c r="E6" s="11"/>
      <c r="F6" s="10">
        <v>2018</v>
      </c>
      <c r="G6" s="11"/>
      <c r="H6" s="10">
        <v>2019</v>
      </c>
      <c r="I6" s="11"/>
      <c r="J6" s="10">
        <v>2018</v>
      </c>
    </row>
    <row r="7" spans="1:14" s="8" customFormat="1" ht="17.45" customHeight="1">
      <c r="B7" s="9"/>
      <c r="D7" s="10"/>
      <c r="E7" s="11"/>
      <c r="F7" s="11" t="s">
        <v>221</v>
      </c>
      <c r="G7" s="11"/>
      <c r="H7" s="10"/>
      <c r="I7" s="11"/>
      <c r="J7" s="11"/>
    </row>
    <row r="8" spans="1:14" ht="17.45" customHeight="1">
      <c r="A8" s="1" t="s">
        <v>144</v>
      </c>
    </row>
    <row r="9" spans="1:14" ht="17.45" customHeight="1">
      <c r="A9" s="3" t="s">
        <v>198</v>
      </c>
      <c r="D9" s="13">
        <f>pl!D26</f>
        <v>582723185</v>
      </c>
      <c r="E9" s="13"/>
      <c r="F9" s="13">
        <f>pl!F26</f>
        <v>210856607</v>
      </c>
      <c r="G9" s="13"/>
      <c r="H9" s="13">
        <f>pl!H26</f>
        <v>1019764210</v>
      </c>
      <c r="I9" s="13"/>
      <c r="J9" s="13">
        <f>pl!J26</f>
        <v>-29669185</v>
      </c>
      <c r="L9" s="4"/>
      <c r="N9" s="4"/>
    </row>
    <row r="10" spans="1:14" ht="17.45" customHeight="1">
      <c r="A10" s="3" t="s">
        <v>192</v>
      </c>
      <c r="D10" s="13"/>
      <c r="E10" s="13"/>
      <c r="F10" s="13"/>
      <c r="G10" s="13"/>
      <c r="H10" s="13"/>
      <c r="I10" s="13"/>
      <c r="J10" s="13"/>
    </row>
    <row r="11" spans="1:14" ht="17.45" customHeight="1">
      <c r="A11" s="3" t="s">
        <v>54</v>
      </c>
      <c r="D11" s="13"/>
      <c r="E11" s="13"/>
      <c r="F11" s="13"/>
      <c r="G11" s="13"/>
      <c r="H11" s="13"/>
      <c r="I11" s="13"/>
      <c r="J11" s="13"/>
    </row>
    <row r="12" spans="1:14" ht="17.45" customHeight="1">
      <c r="A12" s="3" t="s">
        <v>55</v>
      </c>
      <c r="D12" s="13">
        <v>411754788</v>
      </c>
      <c r="E12" s="13"/>
      <c r="F12" s="13">
        <v>375532160</v>
      </c>
      <c r="G12" s="13"/>
      <c r="H12" s="13">
        <v>8314081</v>
      </c>
      <c r="I12" s="13"/>
      <c r="J12" s="13">
        <v>8005507</v>
      </c>
    </row>
    <row r="13" spans="1:14" ht="17.45" customHeight="1">
      <c r="A13" s="3" t="s">
        <v>56</v>
      </c>
      <c r="D13" s="13">
        <v>2370681</v>
      </c>
      <c r="E13" s="13"/>
      <c r="F13" s="13">
        <v>2495171</v>
      </c>
      <c r="G13" s="13"/>
      <c r="H13" s="13">
        <v>0</v>
      </c>
      <c r="I13" s="13"/>
      <c r="J13" s="13">
        <v>0</v>
      </c>
    </row>
    <row r="14" spans="1:14" ht="17.45" customHeight="1">
      <c r="A14" s="3" t="s">
        <v>180</v>
      </c>
      <c r="D14" s="13">
        <v>0</v>
      </c>
      <c r="E14" s="13"/>
      <c r="F14" s="13">
        <v>2020121</v>
      </c>
      <c r="G14" s="13"/>
      <c r="H14" s="13">
        <v>0</v>
      </c>
      <c r="I14" s="13"/>
      <c r="J14" s="13">
        <v>0</v>
      </c>
    </row>
    <row r="15" spans="1:14" ht="17.45" customHeight="1">
      <c r="A15" s="3" t="s">
        <v>188</v>
      </c>
      <c r="D15" s="136">
        <v>805637</v>
      </c>
      <c r="E15" s="13"/>
      <c r="F15" s="136">
        <v>-317048</v>
      </c>
      <c r="G15" s="13"/>
      <c r="H15" s="13">
        <v>228205</v>
      </c>
      <c r="I15" s="13"/>
      <c r="J15" s="13">
        <v>0</v>
      </c>
    </row>
    <row r="16" spans="1:14" ht="17.45" customHeight="1">
      <c r="A16" s="3" t="s">
        <v>240</v>
      </c>
      <c r="D16" s="136">
        <v>-228355</v>
      </c>
      <c r="E16" s="13"/>
      <c r="F16" s="136">
        <v>2077550</v>
      </c>
      <c r="G16" s="13"/>
      <c r="H16" s="13">
        <v>0</v>
      </c>
      <c r="I16" s="13"/>
      <c r="J16" s="13">
        <v>0</v>
      </c>
    </row>
    <row r="17" spans="1:10" ht="17.45" customHeight="1">
      <c r="A17" s="3" t="s">
        <v>190</v>
      </c>
      <c r="D17" s="13">
        <v>0</v>
      </c>
      <c r="E17" s="13"/>
      <c r="F17" s="13">
        <v>0</v>
      </c>
      <c r="G17" s="13"/>
      <c r="H17" s="13">
        <v>-1009560260</v>
      </c>
      <c r="I17" s="13"/>
      <c r="J17" s="13">
        <v>0</v>
      </c>
    </row>
    <row r="18" spans="1:10" ht="17.45" customHeight="1">
      <c r="A18" s="3" t="s">
        <v>248</v>
      </c>
      <c r="D18" s="13">
        <v>0</v>
      </c>
      <c r="E18" s="13"/>
      <c r="F18" s="13">
        <v>0</v>
      </c>
      <c r="G18" s="13"/>
      <c r="H18" s="13">
        <v>-28271056</v>
      </c>
      <c r="I18" s="13"/>
      <c r="J18" s="13">
        <v>-28271056</v>
      </c>
    </row>
    <row r="19" spans="1:10" ht="17.45" customHeight="1">
      <c r="A19" s="3" t="s">
        <v>258</v>
      </c>
      <c r="D19" s="137">
        <v>-4779916</v>
      </c>
      <c r="E19" s="13"/>
      <c r="F19" s="137">
        <v>-65627750</v>
      </c>
      <c r="G19" s="13"/>
      <c r="H19" s="13">
        <v>0</v>
      </c>
      <c r="I19" s="13"/>
      <c r="J19" s="13">
        <v>0</v>
      </c>
    </row>
    <row r="20" spans="1:10" ht="17.45" customHeight="1">
      <c r="A20" s="3" t="s">
        <v>227</v>
      </c>
      <c r="D20" s="136">
        <v>-86510317</v>
      </c>
      <c r="E20" s="13"/>
      <c r="F20" s="136">
        <v>-50618099</v>
      </c>
      <c r="G20" s="13"/>
      <c r="H20" s="136">
        <v>-7427794</v>
      </c>
      <c r="I20" s="13"/>
      <c r="J20" s="136">
        <v>2105654</v>
      </c>
    </row>
    <row r="21" spans="1:10" ht="17.45" customHeight="1">
      <c r="A21" s="3" t="s">
        <v>183</v>
      </c>
      <c r="D21" s="136">
        <v>-648330</v>
      </c>
      <c r="E21" s="13"/>
      <c r="F21" s="136">
        <v>1299395</v>
      </c>
      <c r="G21" s="13"/>
      <c r="H21" s="136">
        <v>-5077</v>
      </c>
      <c r="I21" s="13"/>
      <c r="J21" s="136">
        <v>-11982</v>
      </c>
    </row>
    <row r="22" spans="1:10" ht="17.45" customHeight="1">
      <c r="A22" s="3" t="s">
        <v>241</v>
      </c>
      <c r="D22" s="136">
        <v>9672019</v>
      </c>
      <c r="E22" s="13"/>
      <c r="F22" s="136">
        <v>0</v>
      </c>
      <c r="G22" s="13"/>
      <c r="H22" s="136">
        <v>9430018</v>
      </c>
      <c r="I22" s="13"/>
      <c r="J22" s="136">
        <v>0</v>
      </c>
    </row>
    <row r="23" spans="1:10" ht="17.45" customHeight="1">
      <c r="A23" s="3" t="s">
        <v>57</v>
      </c>
      <c r="D23" s="13">
        <v>5515715</v>
      </c>
      <c r="E23" s="13"/>
      <c r="F23" s="13">
        <v>426423</v>
      </c>
      <c r="G23" s="13"/>
      <c r="H23" s="13">
        <v>0</v>
      </c>
      <c r="I23" s="13"/>
      <c r="J23" s="13">
        <v>18515442</v>
      </c>
    </row>
    <row r="24" spans="1:10" ht="17.45" customHeight="1">
      <c r="A24" s="3" t="s">
        <v>196</v>
      </c>
      <c r="D24" s="13">
        <v>0</v>
      </c>
      <c r="E24" s="13"/>
      <c r="F24" s="13">
        <v>64711856</v>
      </c>
      <c r="G24" s="13"/>
      <c r="H24" s="13">
        <v>0</v>
      </c>
      <c r="I24" s="13"/>
      <c r="J24" s="13">
        <v>0</v>
      </c>
    </row>
    <row r="25" spans="1:10" ht="17.45" customHeight="1">
      <c r="A25" s="3" t="s">
        <v>228</v>
      </c>
      <c r="D25" s="13">
        <v>11150454</v>
      </c>
      <c r="E25" s="13"/>
      <c r="F25" s="13">
        <v>0</v>
      </c>
      <c r="G25" s="13"/>
      <c r="H25" s="13">
        <v>2919631</v>
      </c>
      <c r="I25" s="13"/>
      <c r="J25" s="13">
        <v>0</v>
      </c>
    </row>
    <row r="26" spans="1:10" ht="17.45" customHeight="1">
      <c r="A26" s="3" t="s">
        <v>184</v>
      </c>
      <c r="D26" s="13">
        <v>13603226</v>
      </c>
      <c r="E26" s="13"/>
      <c r="F26" s="13">
        <v>11455914</v>
      </c>
      <c r="G26" s="13"/>
      <c r="H26" s="13">
        <v>3503576</v>
      </c>
      <c r="I26" s="13"/>
      <c r="J26" s="13">
        <v>1175930</v>
      </c>
    </row>
    <row r="27" spans="1:10" ht="17.45" customHeight="1">
      <c r="A27" s="3" t="s">
        <v>262</v>
      </c>
      <c r="D27" s="13">
        <v>1668397</v>
      </c>
      <c r="E27" s="13"/>
      <c r="F27" s="13">
        <v>-10335623</v>
      </c>
      <c r="G27" s="13"/>
      <c r="H27" s="13">
        <v>0</v>
      </c>
      <c r="I27" s="13"/>
      <c r="J27" s="13">
        <v>0</v>
      </c>
    </row>
    <row r="28" spans="1:10" ht="17.45" customHeight="1">
      <c r="A28" s="3" t="s">
        <v>229</v>
      </c>
      <c r="D28" s="13">
        <v>-6880452</v>
      </c>
      <c r="E28" s="13"/>
      <c r="F28" s="13">
        <v>-48531803</v>
      </c>
      <c r="G28" s="13"/>
      <c r="H28" s="13">
        <v>0</v>
      </c>
      <c r="I28" s="13"/>
      <c r="J28" s="13">
        <v>0</v>
      </c>
    </row>
    <row r="29" spans="1:10" ht="17.45" customHeight="1">
      <c r="A29" s="3" t="s">
        <v>58</v>
      </c>
      <c r="D29" s="136">
        <v>-38193528</v>
      </c>
      <c r="E29" s="136"/>
      <c r="F29" s="136">
        <v>-31368328</v>
      </c>
      <c r="G29" s="136"/>
      <c r="H29" s="136">
        <v>-73143428</v>
      </c>
      <c r="I29" s="136"/>
      <c r="J29" s="136">
        <v>-41693688</v>
      </c>
    </row>
    <row r="30" spans="1:10" ht="17.45" customHeight="1">
      <c r="A30" s="3" t="s">
        <v>59</v>
      </c>
      <c r="D30" s="14">
        <v>132252130</v>
      </c>
      <c r="E30" s="136"/>
      <c r="F30" s="14">
        <v>158178352</v>
      </c>
      <c r="G30" s="136"/>
      <c r="H30" s="14">
        <v>53474500</v>
      </c>
      <c r="I30" s="136"/>
      <c r="J30" s="14">
        <v>39015177</v>
      </c>
    </row>
    <row r="31" spans="1:10" ht="17.45" customHeight="1">
      <c r="A31" s="3" t="s">
        <v>125</v>
      </c>
      <c r="D31" s="16"/>
      <c r="E31" s="136"/>
      <c r="F31" s="16"/>
      <c r="G31" s="136"/>
      <c r="H31" s="16"/>
      <c r="I31" s="136"/>
      <c r="J31" s="16"/>
    </row>
    <row r="32" spans="1:10" ht="17.45" customHeight="1">
      <c r="A32" s="3" t="s">
        <v>60</v>
      </c>
      <c r="D32" s="16">
        <f>SUM(D9:D30)</f>
        <v>1034275334</v>
      </c>
      <c r="E32" s="13"/>
      <c r="F32" s="16">
        <f>SUM(F9:F30)</f>
        <v>622254898</v>
      </c>
      <c r="G32" s="13"/>
      <c r="H32" s="16">
        <f>SUM(H9:H30)</f>
        <v>-20773394</v>
      </c>
      <c r="I32" s="13"/>
      <c r="J32" s="16">
        <f>SUM(J9:J30)</f>
        <v>-30828201</v>
      </c>
    </row>
    <row r="33" spans="1:10" ht="17.45" customHeight="1">
      <c r="A33" s="3" t="s">
        <v>61</v>
      </c>
      <c r="D33" s="13"/>
      <c r="E33" s="13"/>
      <c r="F33" s="13"/>
      <c r="G33" s="13"/>
      <c r="H33" s="13"/>
      <c r="I33" s="13"/>
      <c r="J33" s="13"/>
    </row>
    <row r="34" spans="1:10" ht="17.45" customHeight="1">
      <c r="A34" s="3" t="s">
        <v>126</v>
      </c>
      <c r="D34" s="13">
        <v>-178807475</v>
      </c>
      <c r="E34" s="13"/>
      <c r="F34" s="13">
        <f>63078259+5793049</f>
        <v>68871308</v>
      </c>
      <c r="G34" s="13"/>
      <c r="H34" s="13">
        <v>12731405</v>
      </c>
      <c r="I34" s="13"/>
      <c r="J34" s="13">
        <f>-559877-18230874</f>
        <v>-18790751</v>
      </c>
    </row>
    <row r="35" spans="1:10" s="1" customFormat="1" ht="17.45" customHeight="1">
      <c r="A35" s="3" t="s">
        <v>62</v>
      </c>
      <c r="B35" s="3"/>
      <c r="C35" s="3"/>
      <c r="D35" s="13">
        <v>13020152</v>
      </c>
      <c r="E35" s="13"/>
      <c r="F35" s="13">
        <v>9402980</v>
      </c>
      <c r="G35" s="13"/>
      <c r="H35" s="13">
        <v>0</v>
      </c>
      <c r="I35" s="13"/>
      <c r="J35" s="13">
        <v>0</v>
      </c>
    </row>
    <row r="36" spans="1:10" ht="17.45" customHeight="1">
      <c r="A36" s="3" t="s">
        <v>63</v>
      </c>
      <c r="D36" s="13">
        <v>-423472660</v>
      </c>
      <c r="E36" s="13"/>
      <c r="F36" s="13">
        <v>125258382</v>
      </c>
      <c r="G36" s="13"/>
      <c r="H36" s="13">
        <v>0</v>
      </c>
      <c r="I36" s="13"/>
      <c r="J36" s="13">
        <v>15727741</v>
      </c>
    </row>
    <row r="37" spans="1:10" ht="17.45" customHeight="1">
      <c r="A37" s="3" t="s">
        <v>238</v>
      </c>
      <c r="D37" s="13">
        <v>-29259815</v>
      </c>
      <c r="E37" s="13"/>
      <c r="F37" s="13">
        <v>-9565460</v>
      </c>
      <c r="G37" s="13"/>
      <c r="H37" s="13">
        <v>0</v>
      </c>
      <c r="I37" s="13"/>
      <c r="J37" s="13">
        <v>0</v>
      </c>
    </row>
    <row r="38" spans="1:10" ht="17.45" customHeight="1">
      <c r="A38" s="3" t="s">
        <v>64</v>
      </c>
      <c r="D38" s="13">
        <v>51154094</v>
      </c>
      <c r="E38" s="13"/>
      <c r="F38" s="13">
        <v>-119321491</v>
      </c>
      <c r="G38" s="13"/>
      <c r="H38" s="13">
        <v>6572555</v>
      </c>
      <c r="I38" s="13"/>
      <c r="J38" s="13">
        <v>5629014</v>
      </c>
    </row>
    <row r="39" spans="1:10" ht="17.45" customHeight="1">
      <c r="A39" s="3" t="s">
        <v>65</v>
      </c>
      <c r="D39" s="13">
        <v>-308419047</v>
      </c>
      <c r="E39" s="13"/>
      <c r="F39" s="13">
        <v>-165867924</v>
      </c>
      <c r="G39" s="13"/>
      <c r="H39" s="13">
        <v>0</v>
      </c>
      <c r="I39" s="13"/>
      <c r="J39" s="13">
        <v>0</v>
      </c>
    </row>
    <row r="40" spans="1:10" ht="17.45" customHeight="1">
      <c r="A40" s="3" t="s">
        <v>66</v>
      </c>
      <c r="D40" s="13">
        <v>-4235025</v>
      </c>
      <c r="E40" s="13"/>
      <c r="F40" s="13">
        <v>-13776211</v>
      </c>
      <c r="G40" s="13"/>
      <c r="H40" s="13">
        <v>-300</v>
      </c>
      <c r="I40" s="13"/>
      <c r="J40" s="13">
        <v>-51600</v>
      </c>
    </row>
    <row r="41" spans="1:10" ht="17.45" customHeight="1">
      <c r="A41" s="3" t="s">
        <v>67</v>
      </c>
      <c r="D41" s="13"/>
      <c r="E41" s="13"/>
      <c r="F41" s="13"/>
      <c r="G41" s="13"/>
      <c r="H41" s="13"/>
      <c r="I41" s="13"/>
      <c r="J41" s="13"/>
    </row>
    <row r="42" spans="1:10" ht="17.45" customHeight="1">
      <c r="A42" s="3" t="s">
        <v>127</v>
      </c>
      <c r="D42" s="13">
        <v>262652113</v>
      </c>
      <c r="E42" s="13"/>
      <c r="F42" s="13">
        <f>-34956885-4400817</f>
        <v>-39357702</v>
      </c>
      <c r="G42" s="13"/>
      <c r="H42" s="13">
        <v>1172010</v>
      </c>
      <c r="I42" s="13"/>
      <c r="J42" s="13">
        <v>-1223109</v>
      </c>
    </row>
    <row r="43" spans="1:10" ht="17.45" customHeight="1">
      <c r="A43" s="3" t="s">
        <v>139</v>
      </c>
      <c r="D43" s="13">
        <v>-48568629</v>
      </c>
      <c r="E43" s="13"/>
      <c r="F43" s="13">
        <v>227412519</v>
      </c>
      <c r="G43" s="13"/>
      <c r="H43" s="13">
        <v>-328537</v>
      </c>
      <c r="I43" s="13"/>
      <c r="J43" s="13">
        <v>323913</v>
      </c>
    </row>
    <row r="44" spans="1:10" ht="17.45" customHeight="1">
      <c r="A44" s="3" t="s">
        <v>68</v>
      </c>
      <c r="D44" s="13">
        <v>66781179</v>
      </c>
      <c r="E44" s="13"/>
      <c r="F44" s="13">
        <v>39076577</v>
      </c>
      <c r="G44" s="13"/>
      <c r="H44" s="13">
        <v>16603956</v>
      </c>
      <c r="I44" s="13"/>
      <c r="J44" s="13">
        <v>-220813</v>
      </c>
    </row>
    <row r="45" spans="1:10" ht="17.45" customHeight="1">
      <c r="A45" s="3" t="s">
        <v>265</v>
      </c>
      <c r="D45" s="13">
        <v>-4766975</v>
      </c>
      <c r="E45" s="13"/>
      <c r="F45" s="13">
        <v>-12508035</v>
      </c>
      <c r="G45" s="13"/>
      <c r="H45" s="13">
        <v>-136036</v>
      </c>
      <c r="I45" s="13"/>
      <c r="J45" s="13">
        <v>-2506733</v>
      </c>
    </row>
    <row r="46" spans="1:10" ht="17.45" customHeight="1">
      <c r="A46" s="3" t="s">
        <v>266</v>
      </c>
      <c r="D46" s="13">
        <v>-4036149</v>
      </c>
      <c r="E46" s="13"/>
      <c r="F46" s="13">
        <v>-10000000</v>
      </c>
      <c r="G46" s="13"/>
      <c r="H46" s="13">
        <v>0</v>
      </c>
      <c r="I46" s="13"/>
      <c r="J46" s="13">
        <v>0</v>
      </c>
    </row>
    <row r="47" spans="1:10" ht="17.45" customHeight="1">
      <c r="A47" s="3" t="s">
        <v>69</v>
      </c>
      <c r="D47" s="14">
        <v>-11378881</v>
      </c>
      <c r="E47" s="13"/>
      <c r="F47" s="14">
        <v>3150773</v>
      </c>
      <c r="G47" s="13"/>
      <c r="H47" s="14">
        <v>-212074</v>
      </c>
      <c r="I47" s="13"/>
      <c r="J47" s="14">
        <v>440461</v>
      </c>
    </row>
    <row r="48" spans="1:10" ht="17.45" customHeight="1">
      <c r="A48" s="3" t="s">
        <v>230</v>
      </c>
      <c r="D48" s="13">
        <f>SUM(D32:D40,D42:D47)</f>
        <v>414938216</v>
      </c>
      <c r="E48" s="13"/>
      <c r="F48" s="13">
        <f>SUM(F32:F40,F42:F47)</f>
        <v>725030614</v>
      </c>
      <c r="G48" s="13"/>
      <c r="H48" s="13">
        <f>SUM(H32:H40,H42:H47)</f>
        <v>15629585</v>
      </c>
      <c r="I48" s="13"/>
      <c r="J48" s="13">
        <f>SUM(J32:J40,J42:J47)</f>
        <v>-31500078</v>
      </c>
    </row>
    <row r="49" spans="1:10" ht="17.45" customHeight="1">
      <c r="A49" s="3" t="s">
        <v>70</v>
      </c>
      <c r="D49" s="13">
        <v>38306037</v>
      </c>
      <c r="E49" s="13"/>
      <c r="F49" s="13">
        <v>31331003</v>
      </c>
      <c r="G49" s="13"/>
      <c r="H49" s="13">
        <v>58740346</v>
      </c>
      <c r="I49" s="13"/>
      <c r="J49" s="13">
        <v>43988561</v>
      </c>
    </row>
    <row r="50" spans="1:10" ht="17.45" customHeight="1">
      <c r="A50" s="3" t="s">
        <v>71</v>
      </c>
      <c r="D50" s="13">
        <v>-174833093</v>
      </c>
      <c r="E50" s="13"/>
      <c r="F50" s="13">
        <v>-159301012</v>
      </c>
      <c r="G50" s="13"/>
      <c r="H50" s="13">
        <v>-49719041</v>
      </c>
      <c r="I50" s="13"/>
      <c r="J50" s="13">
        <v>-38634659</v>
      </c>
    </row>
    <row r="51" spans="1:10" ht="17.45" customHeight="1">
      <c r="A51" s="3" t="s">
        <v>155</v>
      </c>
      <c r="D51" s="20">
        <v>-119417034</v>
      </c>
      <c r="E51" s="13"/>
      <c r="F51" s="20">
        <v>-110637075</v>
      </c>
      <c r="G51" s="13"/>
      <c r="H51" s="20">
        <v>-6651278</v>
      </c>
      <c r="I51" s="13"/>
      <c r="J51" s="20">
        <v>-5948110</v>
      </c>
    </row>
    <row r="52" spans="1:10" ht="17.45" customHeight="1">
      <c r="A52" s="1" t="s">
        <v>205</v>
      </c>
      <c r="D52" s="14">
        <f>SUM(D48:D51)</f>
        <v>158994126</v>
      </c>
      <c r="E52" s="13"/>
      <c r="F52" s="14">
        <f>SUM(F48:F51)</f>
        <v>486423530</v>
      </c>
      <c r="G52" s="13"/>
      <c r="H52" s="14">
        <f>SUM(H48:H51)</f>
        <v>17999612</v>
      </c>
      <c r="I52" s="13"/>
      <c r="J52" s="14">
        <f>SUM(J48:J51)</f>
        <v>-32094286</v>
      </c>
    </row>
    <row r="53" spans="1:10" ht="17.45" customHeight="1">
      <c r="A53" s="1"/>
      <c r="D53" s="16"/>
      <c r="E53" s="13"/>
      <c r="F53" s="16"/>
      <c r="G53" s="13"/>
      <c r="H53" s="16"/>
      <c r="I53" s="13"/>
      <c r="J53" s="16"/>
    </row>
    <row r="54" spans="1:10" ht="17.45" customHeight="1">
      <c r="A54" s="3" t="s">
        <v>18</v>
      </c>
    </row>
    <row r="55" spans="1:10" s="1" customFormat="1" ht="19.7" customHeight="1">
      <c r="A55" s="1" t="s">
        <v>0</v>
      </c>
      <c r="D55" s="2"/>
      <c r="F55" s="2"/>
      <c r="H55" s="2"/>
      <c r="J55" s="2"/>
    </row>
    <row r="56" spans="1:10" s="1" customFormat="1" ht="19.7" customHeight="1">
      <c r="A56" s="1" t="s">
        <v>133</v>
      </c>
      <c r="D56" s="2"/>
      <c r="F56" s="2"/>
      <c r="H56" s="2"/>
      <c r="J56" s="2"/>
    </row>
    <row r="57" spans="1:10" s="1" customFormat="1" ht="19.7" customHeight="1">
      <c r="A57" s="1" t="s">
        <v>215</v>
      </c>
      <c r="D57" s="2"/>
      <c r="F57" s="2"/>
      <c r="H57" s="2"/>
      <c r="J57" s="2"/>
    </row>
    <row r="58" spans="1:10" s="8" customFormat="1" ht="19.7" customHeight="1">
      <c r="D58" s="4"/>
      <c r="E58" s="3"/>
      <c r="F58" s="4"/>
      <c r="G58" s="3"/>
      <c r="H58" s="5"/>
      <c r="I58" s="3"/>
      <c r="J58" s="5" t="s">
        <v>1</v>
      </c>
    </row>
    <row r="59" spans="1:10" s="6" customFormat="1" ht="19.7" customHeight="1">
      <c r="D59" s="7"/>
      <c r="E59" s="63" t="s">
        <v>2</v>
      </c>
      <c r="F59" s="7"/>
      <c r="H59" s="7"/>
      <c r="I59" s="63" t="s">
        <v>3</v>
      </c>
      <c r="J59" s="7"/>
    </row>
    <row r="60" spans="1:10" s="8" customFormat="1" ht="19.7" customHeight="1">
      <c r="B60" s="9"/>
      <c r="D60" s="10">
        <v>2019</v>
      </c>
      <c r="E60" s="11"/>
      <c r="F60" s="10">
        <v>2018</v>
      </c>
      <c r="G60" s="11"/>
      <c r="H60" s="10">
        <v>2019</v>
      </c>
      <c r="I60" s="11"/>
      <c r="J60" s="10">
        <v>2018</v>
      </c>
    </row>
    <row r="61" spans="1:10" s="8" customFormat="1" ht="19.7" customHeight="1">
      <c r="B61" s="9"/>
      <c r="D61" s="10"/>
      <c r="E61" s="11"/>
      <c r="F61" s="11" t="s">
        <v>221</v>
      </c>
      <c r="G61" s="11"/>
      <c r="H61" s="10"/>
      <c r="I61" s="11"/>
      <c r="J61" s="11"/>
    </row>
    <row r="62" spans="1:10" ht="19.7" customHeight="1">
      <c r="A62" s="1" t="s">
        <v>72</v>
      </c>
      <c r="D62" s="13"/>
      <c r="E62" s="13"/>
      <c r="F62" s="13"/>
      <c r="G62" s="13"/>
      <c r="H62" s="13"/>
      <c r="I62" s="13"/>
      <c r="J62" s="13"/>
    </row>
    <row r="63" spans="1:10" ht="19.7" customHeight="1">
      <c r="A63" s="3" t="s">
        <v>272</v>
      </c>
      <c r="D63" s="19">
        <v>14044883</v>
      </c>
      <c r="E63" s="16"/>
      <c r="F63" s="19">
        <v>-1038422</v>
      </c>
      <c r="G63" s="16"/>
      <c r="H63" s="136">
        <v>0</v>
      </c>
      <c r="I63" s="16"/>
      <c r="J63" s="136">
        <v>0</v>
      </c>
    </row>
    <row r="64" spans="1:10" ht="19.7" customHeight="1">
      <c r="A64" s="3" t="s">
        <v>273</v>
      </c>
      <c r="D64" s="19">
        <v>-37831544</v>
      </c>
      <c r="E64" s="16"/>
      <c r="F64" s="19">
        <v>0</v>
      </c>
      <c r="G64" s="16"/>
      <c r="H64" s="136">
        <v>0</v>
      </c>
      <c r="I64" s="16"/>
      <c r="J64" s="136">
        <v>0</v>
      </c>
    </row>
    <row r="65" spans="1:10" ht="19.7" customHeight="1">
      <c r="A65" s="3" t="s">
        <v>231</v>
      </c>
      <c r="D65" s="19">
        <v>-90652</v>
      </c>
      <c r="E65" s="16"/>
      <c r="F65" s="19">
        <v>0</v>
      </c>
      <c r="G65" s="16"/>
      <c r="H65" s="19">
        <v>-90652</v>
      </c>
      <c r="I65" s="16"/>
      <c r="J65" s="19">
        <v>0</v>
      </c>
    </row>
    <row r="66" spans="1:10" ht="19.7" customHeight="1">
      <c r="A66" s="3" t="s">
        <v>150</v>
      </c>
      <c r="D66" s="137">
        <v>0</v>
      </c>
      <c r="E66" s="13"/>
      <c r="F66" s="137">
        <v>0</v>
      </c>
      <c r="G66" s="13"/>
      <c r="H66" s="137">
        <v>1082500000</v>
      </c>
      <c r="I66" s="13"/>
      <c r="J66" s="137">
        <v>920000630</v>
      </c>
    </row>
    <row r="67" spans="1:10" ht="19.7" customHeight="1">
      <c r="A67" s="3" t="s">
        <v>151</v>
      </c>
      <c r="D67" s="136">
        <v>0</v>
      </c>
      <c r="E67" s="138"/>
      <c r="F67" s="136">
        <v>0</v>
      </c>
      <c r="G67" s="138"/>
      <c r="H67" s="136">
        <v>-2001050000</v>
      </c>
      <c r="I67" s="138"/>
      <c r="J67" s="136">
        <v>-929000000</v>
      </c>
    </row>
    <row r="68" spans="1:10" ht="19.7" customHeight="1">
      <c r="A68" s="3" t="s">
        <v>232</v>
      </c>
      <c r="D68" s="136">
        <v>0</v>
      </c>
      <c r="E68" s="138"/>
      <c r="F68" s="136">
        <v>-48438405</v>
      </c>
      <c r="G68" s="138"/>
      <c r="H68" s="136">
        <v>0</v>
      </c>
      <c r="I68" s="138"/>
      <c r="J68" s="136">
        <v>0</v>
      </c>
    </row>
    <row r="69" spans="1:10" ht="19.7" customHeight="1">
      <c r="A69" s="3" t="s">
        <v>173</v>
      </c>
      <c r="D69" s="137">
        <v>-83625750</v>
      </c>
      <c r="E69" s="138"/>
      <c r="F69" s="137">
        <v>-17398700</v>
      </c>
      <c r="G69" s="138"/>
      <c r="H69" s="136">
        <v>0</v>
      </c>
      <c r="I69" s="138"/>
      <c r="J69" s="136">
        <v>0</v>
      </c>
    </row>
    <row r="70" spans="1:10" ht="19.7" customHeight="1">
      <c r="A70" s="3" t="s">
        <v>73</v>
      </c>
      <c r="D70" s="137">
        <v>1399970</v>
      </c>
      <c r="E70" s="137"/>
      <c r="F70" s="137">
        <v>1074422</v>
      </c>
      <c r="G70" s="137"/>
      <c r="H70" s="137">
        <v>7196</v>
      </c>
      <c r="I70" s="137"/>
      <c r="J70" s="137">
        <v>66843</v>
      </c>
    </row>
    <row r="71" spans="1:10" ht="19.7" customHeight="1">
      <c r="A71" s="3" t="s">
        <v>145</v>
      </c>
      <c r="D71" s="16">
        <v>-930554213</v>
      </c>
      <c r="E71" s="16"/>
      <c r="F71" s="16">
        <v>-516345073</v>
      </c>
      <c r="G71" s="16"/>
      <c r="H71" s="16">
        <v>-8853400</v>
      </c>
      <c r="I71" s="16"/>
      <c r="J71" s="16">
        <v>-8500035</v>
      </c>
    </row>
    <row r="72" spans="1:10" ht="19.7" customHeight="1">
      <c r="A72" s="3" t="s">
        <v>191</v>
      </c>
      <c r="D72" s="137">
        <v>0</v>
      </c>
      <c r="E72" s="13"/>
      <c r="F72" s="137">
        <v>0</v>
      </c>
      <c r="G72" s="13"/>
      <c r="H72" s="137">
        <v>1009560260</v>
      </c>
      <c r="I72" s="13"/>
      <c r="J72" s="137">
        <v>0</v>
      </c>
    </row>
    <row r="73" spans="1:10" ht="19.7" customHeight="1">
      <c r="A73" s="3" t="s">
        <v>249</v>
      </c>
      <c r="D73" s="137">
        <v>28271056</v>
      </c>
      <c r="E73" s="13"/>
      <c r="F73" s="137">
        <v>28271056</v>
      </c>
      <c r="G73" s="13"/>
      <c r="H73" s="137">
        <v>28271056</v>
      </c>
      <c r="I73" s="13"/>
      <c r="J73" s="137">
        <v>28271056</v>
      </c>
    </row>
    <row r="74" spans="1:10" ht="19.7" customHeight="1">
      <c r="A74" s="3" t="s">
        <v>233</v>
      </c>
      <c r="D74" s="14">
        <v>0</v>
      </c>
      <c r="E74" s="16">
        <v>0</v>
      </c>
      <c r="F74" s="14">
        <v>-3540</v>
      </c>
      <c r="G74" s="16">
        <v>0</v>
      </c>
      <c r="H74" s="14">
        <v>0</v>
      </c>
      <c r="I74" s="16"/>
      <c r="J74" s="14">
        <v>0</v>
      </c>
    </row>
    <row r="75" spans="1:10" ht="19.7" customHeight="1">
      <c r="A75" s="1" t="s">
        <v>177</v>
      </c>
      <c r="D75" s="14">
        <f>SUM(D63:D74)</f>
        <v>-1008386250</v>
      </c>
      <c r="E75" s="13"/>
      <c r="F75" s="14">
        <f>SUM(F63:F74)</f>
        <v>-553878662</v>
      </c>
      <c r="G75" s="13"/>
      <c r="H75" s="14">
        <f>SUM(H63:H74)</f>
        <v>110344460</v>
      </c>
      <c r="I75" s="13"/>
      <c r="J75" s="14">
        <f>SUM(J63:J73)</f>
        <v>10838494</v>
      </c>
    </row>
    <row r="76" spans="1:10" ht="19.7" customHeight="1">
      <c r="A76" s="1" t="s">
        <v>74</v>
      </c>
      <c r="D76" s="13"/>
      <c r="E76" s="13"/>
      <c r="F76" s="13"/>
      <c r="G76" s="13"/>
      <c r="H76" s="13"/>
      <c r="I76" s="13"/>
      <c r="J76" s="13"/>
    </row>
    <row r="77" spans="1:10" ht="19.7" customHeight="1">
      <c r="A77" s="3" t="s">
        <v>234</v>
      </c>
      <c r="D77" s="13">
        <v>667000000</v>
      </c>
      <c r="E77" s="13"/>
      <c r="F77" s="13">
        <v>-60000000</v>
      </c>
      <c r="G77" s="13"/>
      <c r="H77" s="13">
        <v>410000000</v>
      </c>
      <c r="I77" s="13"/>
      <c r="J77" s="13">
        <v>-20000000</v>
      </c>
    </row>
    <row r="78" spans="1:10" ht="19.7" customHeight="1">
      <c r="A78" s="3" t="s">
        <v>140</v>
      </c>
      <c r="D78" s="13">
        <v>0</v>
      </c>
      <c r="E78" s="13"/>
      <c r="F78" s="13">
        <v>0</v>
      </c>
      <c r="G78" s="13"/>
      <c r="H78" s="13">
        <v>1137500000</v>
      </c>
      <c r="I78" s="13"/>
      <c r="J78" s="13">
        <v>1094500000</v>
      </c>
    </row>
    <row r="79" spans="1:10" ht="19.7" customHeight="1">
      <c r="A79" s="3" t="s">
        <v>76</v>
      </c>
      <c r="D79" s="136">
        <v>0</v>
      </c>
      <c r="E79" s="13"/>
      <c r="F79" s="136">
        <v>0</v>
      </c>
      <c r="G79" s="13"/>
      <c r="H79" s="136">
        <v>-1398000000</v>
      </c>
      <c r="I79" s="13"/>
      <c r="J79" s="136">
        <v>-1007000000</v>
      </c>
    </row>
    <row r="80" spans="1:10" ht="19.7" customHeight="1">
      <c r="A80" s="3" t="s">
        <v>77</v>
      </c>
      <c r="D80" s="137">
        <v>2625575804</v>
      </c>
      <c r="E80" s="13"/>
      <c r="F80" s="137">
        <v>862624954</v>
      </c>
      <c r="G80" s="13"/>
      <c r="H80" s="137">
        <v>1293559446</v>
      </c>
      <c r="I80" s="13"/>
      <c r="J80" s="137">
        <v>0</v>
      </c>
    </row>
    <row r="81" spans="1:10" ht="19.7" customHeight="1">
      <c r="A81" s="3" t="s">
        <v>78</v>
      </c>
      <c r="D81" s="16">
        <v>-764442539</v>
      </c>
      <c r="E81" s="16"/>
      <c r="F81" s="16">
        <v>-591910750</v>
      </c>
      <c r="G81" s="16"/>
      <c r="H81" s="16">
        <v>-3875000</v>
      </c>
      <c r="I81" s="16"/>
      <c r="J81" s="16">
        <v>-500000</v>
      </c>
    </row>
    <row r="82" spans="1:10" ht="19.7" customHeight="1">
      <c r="A82" s="3" t="s">
        <v>263</v>
      </c>
      <c r="D82" s="16">
        <v>26950000</v>
      </c>
      <c r="E82" s="16"/>
      <c r="F82" s="16">
        <v>0</v>
      </c>
      <c r="G82" s="16"/>
      <c r="H82" s="16">
        <v>0</v>
      </c>
      <c r="I82" s="16"/>
      <c r="J82" s="16">
        <v>0</v>
      </c>
    </row>
    <row r="83" spans="1:10" ht="19.7" customHeight="1">
      <c r="A83" s="3" t="s">
        <v>201</v>
      </c>
      <c r="D83" s="16">
        <v>0</v>
      </c>
      <c r="E83" s="16"/>
      <c r="F83" s="16">
        <v>-500000000</v>
      </c>
      <c r="G83" s="16"/>
      <c r="H83" s="136">
        <v>0</v>
      </c>
      <c r="I83" s="16"/>
      <c r="J83" s="136">
        <v>0</v>
      </c>
    </row>
    <row r="84" spans="1:10" ht="19.7" customHeight="1">
      <c r="A84" s="3" t="s">
        <v>75</v>
      </c>
      <c r="D84" s="14">
        <v>-1679020337</v>
      </c>
      <c r="E84" s="13"/>
      <c r="F84" s="14">
        <v>-63338698</v>
      </c>
      <c r="G84" s="13"/>
      <c r="H84" s="14">
        <v>-1568466187</v>
      </c>
      <c r="I84" s="13"/>
      <c r="J84" s="14">
        <v>-63338698</v>
      </c>
    </row>
    <row r="85" spans="1:10" ht="19.7" customHeight="1">
      <c r="A85" s="1" t="s">
        <v>206</v>
      </c>
      <c r="D85" s="14">
        <f>SUM(D77:D84)</f>
        <v>876062928</v>
      </c>
      <c r="E85" s="13"/>
      <c r="F85" s="14">
        <f>SUM(F77:F84)</f>
        <v>-352624494</v>
      </c>
      <c r="G85" s="13"/>
      <c r="H85" s="14">
        <f>SUM(H77:H84)</f>
        <v>-129281741</v>
      </c>
      <c r="I85" s="13"/>
      <c r="J85" s="14">
        <f>SUM(J77:J84)</f>
        <v>3661302</v>
      </c>
    </row>
    <row r="86" spans="1:10" ht="19.7" customHeight="1">
      <c r="A86" s="3" t="s">
        <v>147</v>
      </c>
      <c r="D86" s="16"/>
      <c r="E86" s="13"/>
      <c r="F86" s="16"/>
      <c r="G86" s="13"/>
      <c r="H86" s="16"/>
      <c r="I86" s="13"/>
      <c r="J86" s="16"/>
    </row>
    <row r="87" spans="1:10" ht="19.7" customHeight="1">
      <c r="A87" s="3" t="s">
        <v>146</v>
      </c>
      <c r="D87" s="14">
        <v>4194318</v>
      </c>
      <c r="E87" s="16"/>
      <c r="F87" s="14">
        <v>11776599</v>
      </c>
      <c r="G87" s="16"/>
      <c r="H87" s="14">
        <v>0</v>
      </c>
      <c r="I87" s="16"/>
      <c r="J87" s="14">
        <v>0</v>
      </c>
    </row>
    <row r="88" spans="1:10" ht="19.7" customHeight="1">
      <c r="A88" s="1" t="s">
        <v>259</v>
      </c>
      <c r="D88" s="13">
        <f>SUM(D52,D75,D85,D87)</f>
        <v>30865122</v>
      </c>
      <c r="E88" s="13"/>
      <c r="F88" s="13">
        <f>SUM(F52,F75,F85,F87)</f>
        <v>-408303027</v>
      </c>
      <c r="G88" s="13"/>
      <c r="H88" s="13">
        <f>SUM(H52,H75,H85,H87)</f>
        <v>-937669</v>
      </c>
      <c r="I88" s="13"/>
      <c r="J88" s="13">
        <f>SUM(J52,J75,J85,J87)</f>
        <v>-17594490</v>
      </c>
    </row>
    <row r="89" spans="1:10" ht="19.7" customHeight="1">
      <c r="A89" s="3" t="s">
        <v>79</v>
      </c>
      <c r="D89" s="14">
        <v>601678401</v>
      </c>
      <c r="E89" s="13"/>
      <c r="F89" s="14">
        <v>1009981428</v>
      </c>
      <c r="G89" s="13"/>
      <c r="H89" s="14">
        <v>22643210</v>
      </c>
      <c r="I89" s="13"/>
      <c r="J89" s="14">
        <v>40237700</v>
      </c>
    </row>
    <row r="90" spans="1:10" ht="19.7" customHeight="1" thickBot="1">
      <c r="A90" s="1" t="s">
        <v>80</v>
      </c>
      <c r="B90" s="12"/>
      <c r="D90" s="24">
        <f>SUM(D88:D89)</f>
        <v>632543523</v>
      </c>
      <c r="E90" s="13"/>
      <c r="F90" s="24">
        <f>SUM(F88:F89)</f>
        <v>601678401</v>
      </c>
      <c r="G90" s="13"/>
      <c r="H90" s="24">
        <f>SUM(H88:H89)</f>
        <v>21705541</v>
      </c>
      <c r="I90" s="13"/>
      <c r="J90" s="24">
        <f>SUM(J88:J89)</f>
        <v>22643210</v>
      </c>
    </row>
    <row r="91" spans="1:10" ht="19.7" customHeight="1" thickTop="1">
      <c r="D91" s="136">
        <f>SUM(D90-bs!D10)</f>
        <v>0</v>
      </c>
      <c r="E91" s="16"/>
      <c r="F91" s="136">
        <f>SUM(F90-bs!F10)</f>
        <v>0</v>
      </c>
      <c r="G91" s="136"/>
      <c r="H91" s="136">
        <f>SUM(H90-bs!J10)</f>
        <v>0</v>
      </c>
      <c r="I91" s="136"/>
      <c r="J91" s="136">
        <f>SUM(J90-bs!L10)</f>
        <v>0</v>
      </c>
    </row>
    <row r="92" spans="1:10" ht="19.7" customHeight="1">
      <c r="A92" s="1" t="s">
        <v>81</v>
      </c>
      <c r="D92" s="16"/>
      <c r="E92" s="16"/>
      <c r="F92" s="16"/>
      <c r="G92" s="16"/>
      <c r="H92" s="16"/>
      <c r="I92" s="16"/>
      <c r="J92" s="16"/>
    </row>
    <row r="93" spans="1:10" ht="19.7" customHeight="1">
      <c r="A93" s="3" t="s">
        <v>82</v>
      </c>
      <c r="D93" s="16"/>
      <c r="E93" s="16"/>
      <c r="F93" s="16"/>
      <c r="G93" s="16"/>
      <c r="H93" s="16"/>
      <c r="I93" s="16"/>
      <c r="J93" s="16"/>
    </row>
    <row r="94" spans="1:10" ht="19.7" customHeight="1">
      <c r="A94" s="3" t="s">
        <v>267</v>
      </c>
      <c r="D94" s="16">
        <v>-10544062</v>
      </c>
      <c r="E94" s="16"/>
      <c r="F94" s="16">
        <v>1023085</v>
      </c>
      <c r="G94" s="16"/>
      <c r="H94" s="16">
        <v>0</v>
      </c>
      <c r="I94" s="16"/>
      <c r="J94" s="16">
        <v>0</v>
      </c>
    </row>
    <row r="95" spans="1:10" ht="19.7" customHeight="1">
      <c r="A95" s="3" t="s">
        <v>247</v>
      </c>
      <c r="D95" s="16">
        <v>1015469816</v>
      </c>
      <c r="E95" s="16"/>
      <c r="F95" s="16">
        <v>0</v>
      </c>
      <c r="G95" s="16"/>
      <c r="H95" s="16">
        <v>2838045</v>
      </c>
      <c r="I95" s="16"/>
      <c r="J95" s="16">
        <v>0</v>
      </c>
    </row>
    <row r="96" spans="1:10" ht="19.7" customHeight="1">
      <c r="A96" s="3" t="s">
        <v>174</v>
      </c>
      <c r="D96" s="13">
        <v>19769877</v>
      </c>
      <c r="E96" s="13"/>
      <c r="F96" s="13">
        <v>9100404</v>
      </c>
      <c r="G96" s="13"/>
      <c r="H96" s="13">
        <v>0</v>
      </c>
      <c r="I96" s="13"/>
      <c r="J96" s="13">
        <v>0</v>
      </c>
    </row>
    <row r="97" spans="1:10" ht="19.7" customHeight="1">
      <c r="A97" s="3" t="s">
        <v>182</v>
      </c>
      <c r="D97" s="13">
        <v>35538114</v>
      </c>
      <c r="E97" s="16"/>
      <c r="F97" s="13">
        <v>1658721</v>
      </c>
      <c r="G97" s="16"/>
      <c r="H97" s="13">
        <v>0</v>
      </c>
      <c r="I97" s="16"/>
      <c r="J97" s="13">
        <v>0</v>
      </c>
    </row>
    <row r="98" spans="1:10" ht="19.7" customHeight="1">
      <c r="A98" s="3" t="s">
        <v>260</v>
      </c>
      <c r="D98" s="13">
        <v>11382629</v>
      </c>
      <c r="E98" s="16"/>
      <c r="F98" s="13">
        <v>0</v>
      </c>
      <c r="G98" s="16"/>
      <c r="H98" s="13">
        <v>0</v>
      </c>
      <c r="I98" s="16"/>
      <c r="J98" s="13">
        <v>0</v>
      </c>
    </row>
    <row r="99" spans="1:10" ht="19.7" customHeight="1">
      <c r="A99" s="3" t="s">
        <v>211</v>
      </c>
      <c r="D99" s="13"/>
      <c r="E99" s="16"/>
      <c r="F99" s="13"/>
      <c r="G99" s="16"/>
      <c r="H99" s="13"/>
      <c r="I99" s="16"/>
      <c r="J99" s="13"/>
    </row>
    <row r="100" spans="1:10" ht="19.7" customHeight="1">
      <c r="A100" s="3" t="s">
        <v>209</v>
      </c>
      <c r="D100" s="13">
        <v>303056373</v>
      </c>
      <c r="E100" s="16"/>
      <c r="F100" s="13">
        <v>114087019</v>
      </c>
      <c r="G100" s="16"/>
      <c r="H100" s="13">
        <v>0</v>
      </c>
      <c r="I100" s="16"/>
      <c r="J100" s="13">
        <v>0</v>
      </c>
    </row>
    <row r="101" spans="1:10" ht="19.7" customHeight="1">
      <c r="A101" s="3" t="s">
        <v>235</v>
      </c>
      <c r="D101" s="13">
        <v>17387270</v>
      </c>
      <c r="E101" s="16"/>
      <c r="F101" s="13">
        <v>0</v>
      </c>
      <c r="G101" s="16"/>
      <c r="H101" s="13">
        <v>0</v>
      </c>
      <c r="I101" s="16"/>
      <c r="J101" s="13">
        <v>0</v>
      </c>
    </row>
    <row r="102" spans="1:10" ht="19.7" customHeight="1">
      <c r="A102" s="3" t="s">
        <v>210</v>
      </c>
      <c r="D102" s="16"/>
      <c r="E102" s="16"/>
      <c r="F102" s="16"/>
      <c r="G102" s="16"/>
      <c r="H102" s="16"/>
      <c r="I102" s="16"/>
      <c r="J102" s="16"/>
    </row>
    <row r="103" spans="1:10" ht="19.7" customHeight="1">
      <c r="A103" s="3" t="s">
        <v>181</v>
      </c>
      <c r="D103" s="16">
        <v>177610341</v>
      </c>
      <c r="E103" s="16"/>
      <c r="F103" s="16">
        <v>18515442</v>
      </c>
      <c r="G103" s="16"/>
      <c r="H103" s="13">
        <v>0</v>
      </c>
      <c r="I103" s="16"/>
      <c r="J103" s="13">
        <v>0</v>
      </c>
    </row>
    <row r="104" spans="1:10" ht="19.7" customHeight="1">
      <c r="D104" s="13"/>
      <c r="E104" s="16"/>
      <c r="F104" s="13"/>
      <c r="G104" s="16"/>
      <c r="H104" s="13"/>
      <c r="I104" s="16"/>
      <c r="J104" s="13"/>
    </row>
    <row r="105" spans="1:10" ht="19.7" customHeight="1">
      <c r="A105" s="3" t="s">
        <v>18</v>
      </c>
      <c r="D105" s="18"/>
      <c r="E105" s="18"/>
      <c r="F105" s="18"/>
      <c r="G105" s="18"/>
      <c r="H105" s="18"/>
      <c r="I105" s="18"/>
      <c r="J105" s="18"/>
    </row>
  </sheetData>
  <pageMargins left="0.98425196850393704" right="0.39370078740157483" top="0.78740157480314965" bottom="0.39370078740157483" header="0.19685039370078741" footer="0.19685039370078741"/>
  <pageSetup paperSize="9" scale="75" orientation="portrait" r:id="rId1"/>
  <rowBreaks count="1" manualBreakCount="1">
    <brk id="54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100507</vt:lpwstr>
  </property>
  <property fmtid="{D5CDD505-2E9C-101B-9397-08002B2CF9AE}" pid="4" name="OptimizationTime">
    <vt:lpwstr>20200225_2038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ce-conso</vt:lpstr>
      <vt:lpstr>ce-company</vt:lpstr>
      <vt:lpstr>cash flow</vt:lpstr>
      <vt:lpstr>bs!Print_Area</vt:lpstr>
      <vt:lpstr>'cash flow'!Print_Area</vt:lpstr>
      <vt:lpstr>'ce-company'!Print_Area</vt:lpstr>
      <vt:lpstr>'ce-conso'!Print_Area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Aranya Ruenyan</cp:lastModifiedBy>
  <cp:lastPrinted>2020-02-25T13:09:16Z</cp:lastPrinted>
  <dcterms:created xsi:type="dcterms:W3CDTF">2011-11-24T09:12:20Z</dcterms:created>
  <dcterms:modified xsi:type="dcterms:W3CDTF">2020-02-25T13:16:47Z</dcterms:modified>
</cp:coreProperties>
</file>